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Высотная, 1" sheetId="1" r:id="rId1"/>
    <sheet name="Высотная, 2" sheetId="2" r:id="rId2"/>
    <sheet name="Высотная, 3" sheetId="3" r:id="rId3"/>
    <sheet name="Высотная, 4" sheetId="4" r:id="rId4"/>
    <sheet name="Северная, 1" sheetId="5" r:id="rId5"/>
    <sheet name="Северная, 2" sheetId="6" r:id="rId6"/>
    <sheet name="Северная, 3" sheetId="7" r:id="rId7"/>
    <sheet name="Северная, 12" sheetId="8" r:id="rId8"/>
    <sheet name="Северная, 13" sheetId="9" r:id="rId9"/>
    <sheet name="Северная, 14" sheetId="10" r:id="rId10"/>
    <sheet name="Северная, 15" sheetId="11" r:id="rId11"/>
    <sheet name="Северная, 16" sheetId="12" r:id="rId12"/>
    <sheet name="Северная, 17" sheetId="13" r:id="rId13"/>
    <sheet name="Западная, 9 а" sheetId="14" r:id="rId14"/>
    <sheet name="Западная, 10" sheetId="15" r:id="rId15"/>
    <sheet name="Западная, 11" sheetId="16" r:id="rId16"/>
    <sheet name="Западная, 12" sheetId="17" r:id="rId17"/>
    <sheet name="Западная, 13" sheetId="18" r:id="rId18"/>
    <sheet name="Западная, 14" sheetId="19" r:id="rId19"/>
    <sheet name="Западная, 15" sheetId="20" r:id="rId20"/>
    <sheet name="Западная, 16" sheetId="21" r:id="rId21"/>
    <sheet name="Мостовая, 16" sheetId="22" r:id="rId22"/>
    <sheet name="Мостовая, 18" sheetId="23" r:id="rId23"/>
    <sheet name="Мостовая, 20" sheetId="24" r:id="rId24"/>
    <sheet name="Мостовая 28" sheetId="25" r:id="rId25"/>
    <sheet name="Центральная, 15" sheetId="26" r:id="rId26"/>
    <sheet name="Центральная, 17" sheetId="27" r:id="rId27"/>
    <sheet name="Центральная, 19" sheetId="28" r:id="rId28"/>
  </sheets>
  <definedNames>
    <definedName name="_xlnm.Print_Area" localSheetId="0">'Высотная, 1'!$C$1:$J$57</definedName>
    <definedName name="_xlnm.Print_Area" localSheetId="1">'Высотная, 2'!$A$1:$F$57</definedName>
    <definedName name="_xlnm.Print_Area" localSheetId="2">'Высотная, 3'!$C$1:$I$56</definedName>
    <definedName name="_xlnm.Print_Area" localSheetId="3">'Высотная, 4'!$C$1:$H$55</definedName>
    <definedName name="_xlnm.Print_Area" localSheetId="14">'Западная, 10'!$C$1:$H$42</definedName>
    <definedName name="_xlnm.Print_Area" localSheetId="15">'Западная, 11'!$C$1:$I$50</definedName>
    <definedName name="_xlnm.Print_Area" localSheetId="16">'Западная, 12'!$C$1:$J$45</definedName>
    <definedName name="_xlnm.Print_Area" localSheetId="17">'Западная, 13'!$A$1:$I$58</definedName>
    <definedName name="_xlnm.Print_Area" localSheetId="18">'Западная, 14'!$C$1:$J$47</definedName>
    <definedName name="_xlnm.Print_Area" localSheetId="19">'Западная, 15'!$C$1:$J$50</definedName>
    <definedName name="_xlnm.Print_Area" localSheetId="20">'Западная, 16'!$C$1:$H$44</definedName>
    <definedName name="_xlnm.Print_Area" localSheetId="13">'Западная, 9 а'!$C$1:$H$45</definedName>
    <definedName name="_xlnm.Print_Area" localSheetId="24">'Мостовая 28'!$C$1:$K$59</definedName>
    <definedName name="_xlnm.Print_Area" localSheetId="21">'Мостовая, 16'!$C$1:$H$54</definedName>
    <definedName name="_xlnm.Print_Area" localSheetId="22">'Мостовая, 18'!$C$1:$J$55</definedName>
    <definedName name="_xlnm.Print_Area" localSheetId="23">'Мостовая, 20'!$C$1:$H$53</definedName>
    <definedName name="_xlnm.Print_Area" localSheetId="4">'Северная, 1'!$C$1:$H$47</definedName>
    <definedName name="_xlnm.Print_Area" localSheetId="7">'Северная, 12'!$C$1:$J$51</definedName>
    <definedName name="_xlnm.Print_Area" localSheetId="8">'Северная, 13'!$A$1:$J$52</definedName>
    <definedName name="_xlnm.Print_Area" localSheetId="9">'Северная, 14'!$A$1:$J$49</definedName>
    <definedName name="_xlnm.Print_Area" localSheetId="10">'Северная, 15'!$C$1:$H$42</definedName>
    <definedName name="_xlnm.Print_Area" localSheetId="11">'Северная, 16'!$C$1:$H$48</definedName>
    <definedName name="_xlnm.Print_Area" localSheetId="12">'Северная, 17'!$C$1:$J$49</definedName>
    <definedName name="_xlnm.Print_Area" localSheetId="5">'Северная, 2'!$A$1:$H$46</definedName>
    <definedName name="_xlnm.Print_Area" localSheetId="6">'Северная, 3'!$C$1:$H$46</definedName>
    <definedName name="_xlnm.Print_Area" localSheetId="25">'Центральная, 15'!$C$1:$J$48</definedName>
    <definedName name="_xlnm.Print_Area" localSheetId="26">'Центральная, 17'!$C$1:$H$44</definedName>
    <definedName name="_xlnm.Print_Area" localSheetId="27">'Центральная, 19'!$C$1:$H$47</definedName>
  </definedNames>
  <calcPr fullCalcOnLoad="1"/>
</workbook>
</file>

<file path=xl/sharedStrings.xml><?xml version="1.0" encoding="utf-8"?>
<sst xmlns="http://schemas.openxmlformats.org/spreadsheetml/2006/main" count="1494" uniqueCount="204">
  <si>
    <t>Итого по жилищным услугам</t>
  </si>
  <si>
    <t>отопление</t>
  </si>
  <si>
    <t>холодное водоснабжение</t>
  </si>
  <si>
    <t>водоотведение</t>
  </si>
  <si>
    <t>Электроэнергия ( в т.ч. МОП)</t>
  </si>
  <si>
    <t>Итого по коммунальным услугам</t>
  </si>
  <si>
    <t>Всего по жилищно-коммунальным услугам</t>
  </si>
  <si>
    <t>горячее водоснабжение</t>
  </si>
  <si>
    <t>Площадь помещений в доме 363,73 кв.м.</t>
  </si>
  <si>
    <t>Площадь помещений в доме 351,35 кв.м.</t>
  </si>
  <si>
    <t>задолженность населения</t>
  </si>
  <si>
    <t>№</t>
  </si>
  <si>
    <t>услуга</t>
  </si>
  <si>
    <t>начисленно</t>
  </si>
  <si>
    <t>собрано</t>
  </si>
  <si>
    <t>жилищные услуги</t>
  </si>
  <si>
    <t>содержание</t>
  </si>
  <si>
    <t>текущий ремонт</t>
  </si>
  <si>
    <t>таблица 1</t>
  </si>
  <si>
    <t>коммунальные услуги</t>
  </si>
  <si>
    <t>таблица 2</t>
  </si>
  <si>
    <t>сумма выполненных работ</t>
  </si>
  <si>
    <t>запланированные работы</t>
  </si>
  <si>
    <t>Площадь помещений в доме 4778,91</t>
  </si>
  <si>
    <t xml:space="preserve">                                       Муниципальное унитарное предприятие</t>
  </si>
  <si>
    <t xml:space="preserve">                "Управляющая компания в жилищно-коммунальном хозяйстве"</t>
  </si>
  <si>
    <t xml:space="preserve">                   427000, УР, Завьяловский район, д. Пирогово, ул. Северная, 18, ИНН/КПП 1841027115/184101001</t>
  </si>
  <si>
    <t xml:space="preserve">                           ОГРН 1121841004955, р/сч 40702810468000000807, в Удм.отд № 8618 Сбербанка России</t>
  </si>
  <si>
    <t xml:space="preserve">                           Отчет МУП "УК в ЖКХ" перед собственниками дома по адресу:</t>
  </si>
  <si>
    <t xml:space="preserve">                                                    д. Пирогово, ул. Высотная, 1</t>
  </si>
  <si>
    <t>Площадь помещений в доме 4311,85</t>
  </si>
  <si>
    <t>ремонт системы отопления</t>
  </si>
  <si>
    <t xml:space="preserve">                                                    д. Пирогово, ул. Высотная, 3</t>
  </si>
  <si>
    <t xml:space="preserve">                                                    д. Пирогово, ул. Высотная,2</t>
  </si>
  <si>
    <t>Площадь помещений в доме 1348,77</t>
  </si>
  <si>
    <t xml:space="preserve">                                                    д. Пирогово, ул. Высотная, 4</t>
  </si>
  <si>
    <t>Площадь помещений в доме 3416,57</t>
  </si>
  <si>
    <t xml:space="preserve">                                                    д. Пирогово, ул. Северная, 1</t>
  </si>
  <si>
    <t>Площадь помещений в доме 438,02</t>
  </si>
  <si>
    <t xml:space="preserve">                                                    д. Пирогово, ул. Северная, 2</t>
  </si>
  <si>
    <t>Площадь помещений в доме 391,51</t>
  </si>
  <si>
    <t xml:space="preserve">                                                    д. Пирогово, ул. Северная, 3</t>
  </si>
  <si>
    <t>Площадь помещений в доме  387,50</t>
  </si>
  <si>
    <t xml:space="preserve">                                                    д. Пирогово, ул. Северная, 12</t>
  </si>
  <si>
    <t>Площадь помещений в доме  711,77 кв.м.</t>
  </si>
  <si>
    <t xml:space="preserve">                                                    д. Пирогово, ул. Северная, 13</t>
  </si>
  <si>
    <t>Площадь помещений в доме 613,71 кв.м.</t>
  </si>
  <si>
    <t>таблица 3</t>
  </si>
  <si>
    <t>стоимость работы</t>
  </si>
  <si>
    <t>остаток по стоимости работ</t>
  </si>
  <si>
    <t xml:space="preserve">Выполненный вид работы по строке "цевой сбор" </t>
  </si>
  <si>
    <t xml:space="preserve">                                                    д. Пирогово, ул. Северная, 14</t>
  </si>
  <si>
    <t>Площадь помещений в доме 732,45кв.м.</t>
  </si>
  <si>
    <t xml:space="preserve">                                                    д. Пирогово, ул. Северная, 16</t>
  </si>
  <si>
    <t>Площадь помещений в доме 721,55 кв.м.</t>
  </si>
  <si>
    <t xml:space="preserve">                                                    д. Пирогово, ул. Северная, 15</t>
  </si>
  <si>
    <t>Площадь помещений в доме 648,23 кв.м.</t>
  </si>
  <si>
    <t xml:space="preserve">                                                    д. Пирогово, ул. Западная, 9а</t>
  </si>
  <si>
    <t>Площадь помещений в доме 887,08 кв.м.</t>
  </si>
  <si>
    <t xml:space="preserve">                                                    д. Пирогово, ул. Северная, 17</t>
  </si>
  <si>
    <t>Площадь помещений в доме722,05 кв.м.</t>
  </si>
  <si>
    <t xml:space="preserve">                                                    д. Пирогово, ул. Западная, 10</t>
  </si>
  <si>
    <t>Площадь помещений в доме 374,12кв.м.</t>
  </si>
  <si>
    <t xml:space="preserve">                                                    д. Пирогово, ул. Западная, 11</t>
  </si>
  <si>
    <t>Площадь помещений в доме 712,55 кв.м.</t>
  </si>
  <si>
    <t xml:space="preserve">                                                    д. Пирогово, ул. Западная, 12</t>
  </si>
  <si>
    <t>Площадь помещений в доме 712,93кв.м.</t>
  </si>
  <si>
    <t xml:space="preserve">                                                    д. Пирогово, ул. Западная, 13</t>
  </si>
  <si>
    <t>Площадь помещений в доме 653,1кв.м.</t>
  </si>
  <si>
    <t xml:space="preserve">                                                    д. Пирогово, ул. Западная, 14</t>
  </si>
  <si>
    <t>Площадь помещений в доме 382,81 кв.м.</t>
  </si>
  <si>
    <t xml:space="preserve">                                                    д. Пирогово, ул. Западная, 15</t>
  </si>
  <si>
    <t>Площадь помещений в доме 542,53кв.м.</t>
  </si>
  <si>
    <t xml:space="preserve">                                                    д. Пирогово, ул. Западная, 16</t>
  </si>
  <si>
    <t>Площадь помещений в доме  729,32 кв.м.</t>
  </si>
  <si>
    <t xml:space="preserve">                                                    д. Пирогово, ул. Мостовая, 16</t>
  </si>
  <si>
    <t>Площадь помещений в доме 1731,88 кв.м.</t>
  </si>
  <si>
    <t>вывоз ЖБО</t>
  </si>
  <si>
    <t xml:space="preserve">                                                    д. Пирогово, ул. Мостовая, 20</t>
  </si>
  <si>
    <t>Площадь помещений в доме 860,8 кв.м.</t>
  </si>
  <si>
    <t xml:space="preserve">                                                  д. Шудья, ул. Центральная, 15</t>
  </si>
  <si>
    <t xml:space="preserve">                                                  д. Шудья, ул. Центральная, 19</t>
  </si>
  <si>
    <t xml:space="preserve">                                                  д. Шудья, ул. Центральная, 17</t>
  </si>
  <si>
    <t>Площадь помещений в доме 772,14кв.м.</t>
  </si>
  <si>
    <t>замена стекол в подъезде</t>
  </si>
  <si>
    <t xml:space="preserve">                                                    д. Пирогово, ул. Мостовая, 18</t>
  </si>
  <si>
    <t xml:space="preserve">                                                    д. Пирогово, ул. Мостовая, 28</t>
  </si>
  <si>
    <t>вознаграждение председателю</t>
  </si>
  <si>
    <t>обслуживание домофона</t>
  </si>
  <si>
    <t>вывоз жбо</t>
  </si>
  <si>
    <t>ремонт кровли</t>
  </si>
  <si>
    <t>ремонт электроснабжения</t>
  </si>
  <si>
    <t>уборка МОП</t>
  </si>
  <si>
    <t>установка газовых плит</t>
  </si>
  <si>
    <t>установка окон ПВХ</t>
  </si>
  <si>
    <t>ремонт входной группы</t>
  </si>
  <si>
    <t>установка пластиковых окон</t>
  </si>
  <si>
    <t>ремонт канализации</t>
  </si>
  <si>
    <t>ТО узла учета</t>
  </si>
  <si>
    <t>ремонт подъезда</t>
  </si>
  <si>
    <t>ремонт ХВС,ГВС,КНС</t>
  </si>
  <si>
    <t>ремонт ХВС,ГВС</t>
  </si>
  <si>
    <t>Площадь помещений в доме 4800,7кв.м.</t>
  </si>
  <si>
    <t>ремонт ХВС</t>
  </si>
  <si>
    <t>ремонт отопления</t>
  </si>
  <si>
    <t>изготовление козырьков</t>
  </si>
  <si>
    <t>Согласовано :</t>
  </si>
  <si>
    <t>Уполномоченный от собственников              _______________________________</t>
  </si>
  <si>
    <t>частичный ремонт подъездов</t>
  </si>
  <si>
    <t>Итого с учетом 2012 года</t>
  </si>
  <si>
    <t>задолженность ден.ср-в на 31.12.2013</t>
  </si>
  <si>
    <t>задолженность на 01.01.14</t>
  </si>
  <si>
    <t>установка домофона</t>
  </si>
  <si>
    <t>Остаток по стоимости работ произведенной в 2012 г</t>
  </si>
  <si>
    <t>задолженность на 01.01.2014</t>
  </si>
  <si>
    <t>остаток стоимости работ</t>
  </si>
  <si>
    <t>возмещение стоимости ремонта</t>
  </si>
  <si>
    <t>Остаток по стоимости работ</t>
  </si>
  <si>
    <t xml:space="preserve">Остаток по стоимости произведенной в 2012 </t>
  </si>
  <si>
    <t>2.Текущий ремонт</t>
  </si>
  <si>
    <t>1.Содержание</t>
  </si>
  <si>
    <t>Направление расходование средств (выполненые работы)</t>
  </si>
  <si>
    <t>Работы необходимые для надлежащего содержания общедомового имущество МКД, согласно действующего законодательства РФ и договора управления МКД (начисление квартплаты,контроль за качеством работ, снятие показ. с инд.и общедом.приборов учета, обработка данных,ведение тех документации, составл. планов и сметн.докум на тек. и кап.ремонт, заключ. договоров с пост.услуг, собствен., проведение собраний ,работа с должниками,вывоз и утилизация твердых отходов, техническое обслуживание конструктивных элементов жилого дома; техническое обслуживание внутридомового инженерного оборудования жилого дома, очистка  от наледи и  снега, покос травы, дератизация, дезинсекция и иные работы)</t>
  </si>
  <si>
    <t>Работы необходимые для надлежащего содержания общедомового имущество МКД, согласно действующего законодательства РФ и договора управления МКД (начисление квартплаты,контроль за качеством работ, снятие показ. с инд.и общедом.приборов учета, обработка данных,ведение тех документации, составл. планов и сметн.докум на тек. и кап.ремонт, заключ. договоров с пост.услуг, собствен., проведение собраний ,работа с должниками,вывоз и утилизация твердых отходов, техническое обслуживание конструктивных элементов жилого дома; техническое обслуживание внутридомового инженерного оборудования жилого дома, очистка  от наледи и  снега, покос травы, дератизация, дезинсекция и иные работы</t>
  </si>
  <si>
    <t>Уборка МОП</t>
  </si>
  <si>
    <t xml:space="preserve">                                                    с 01.01.2014 по 31.12.2014 гг.</t>
  </si>
  <si>
    <t>задолженность ден.ср-в на 31.12.2014</t>
  </si>
  <si>
    <t>Итого за период 01.01.2014 по 31.12.2014</t>
  </si>
  <si>
    <t xml:space="preserve">Остаток денежных средств на 31.12.14 (остаток (+), долг (-))   </t>
  </si>
  <si>
    <t>начисленно за 2014</t>
  </si>
  <si>
    <t>собрано за 2014 г</t>
  </si>
  <si>
    <t>задолженность населения на 01.01.2015</t>
  </si>
  <si>
    <t>Остаток суммы по текущему ремонту на 01.01.2014 с учетом выполненых работ (долг (-), остаток (+))</t>
  </si>
  <si>
    <t>установка светильников в подъезде</t>
  </si>
  <si>
    <t>установка доводчика</t>
  </si>
  <si>
    <t>ремонт отопления кв.39</t>
  </si>
  <si>
    <t>ремонт отопления кв.64</t>
  </si>
  <si>
    <t>ремонт канализации кв.32</t>
  </si>
  <si>
    <t>ремонт отопления кв. 75</t>
  </si>
  <si>
    <t xml:space="preserve">Итого с учетом 2013 </t>
  </si>
  <si>
    <t>Итого за 2014 год</t>
  </si>
  <si>
    <t>Итого с учетом 2013 года</t>
  </si>
  <si>
    <t xml:space="preserve">ремонт системы ХВС </t>
  </si>
  <si>
    <t>ремонт системы отопления кв.90</t>
  </si>
  <si>
    <t>ремонт системы отопления кв.64</t>
  </si>
  <si>
    <t>ремонт системы отопления кв.24</t>
  </si>
  <si>
    <t>ремонт системы отопления кв.61</t>
  </si>
  <si>
    <t>ремонт ХВС кв.2</t>
  </si>
  <si>
    <t>ремонт канализации кв.60</t>
  </si>
  <si>
    <t>ремонт канализации кв.69</t>
  </si>
  <si>
    <t>ремонт канализации кв.36</t>
  </si>
  <si>
    <t>задолженность населения на 31.12.2014</t>
  </si>
  <si>
    <t>ремонт ГВС кв.2</t>
  </si>
  <si>
    <t>ремонт отопления кв.26</t>
  </si>
  <si>
    <t>ремонт ГВС кв.10</t>
  </si>
  <si>
    <t>ремонт отопления кв.</t>
  </si>
  <si>
    <t>ремонт ХВС кв.26</t>
  </si>
  <si>
    <t>замена задвижки</t>
  </si>
  <si>
    <t>ремонт отопления кв.10</t>
  </si>
  <si>
    <t>ремонт отопления кв.9</t>
  </si>
  <si>
    <t>ремонт отопления кв.20</t>
  </si>
  <si>
    <t>замена элекросчетчика кв.57</t>
  </si>
  <si>
    <t xml:space="preserve">                                                    с 01.01.2014 по 31.12.2014гг.</t>
  </si>
  <si>
    <t>частичный ремонт крыши</t>
  </si>
  <si>
    <t>установка водосчетчика</t>
  </si>
  <si>
    <t>ремонт отопления кв.8</t>
  </si>
  <si>
    <t>Остаток по стоимости работ произведенной в 2013 г</t>
  </si>
  <si>
    <t>начислено за 2014 г</t>
  </si>
  <si>
    <t>задолженность на 01.01.2015</t>
  </si>
  <si>
    <t>начислено за 2014</t>
  </si>
  <si>
    <t>собрано 2014</t>
  </si>
  <si>
    <t>ремонт отопления кв.1</t>
  </si>
  <si>
    <t>ремонт отопления кв.5</t>
  </si>
  <si>
    <t>ремонт канализации кв.11</t>
  </si>
  <si>
    <t>Итого за  2014 год</t>
  </si>
  <si>
    <t>ремонт системы отопления кв.3</t>
  </si>
  <si>
    <t>частичный ремонт кровли</t>
  </si>
  <si>
    <t>ремонт системы отопления кв.4</t>
  </si>
  <si>
    <t>ремонт электроснабжения кв.13</t>
  </si>
  <si>
    <t>ремонт ХВС, ГВС, канализации кв.4</t>
  </si>
  <si>
    <t xml:space="preserve">Остаток по стоимости произведенной в 2013 </t>
  </si>
  <si>
    <t>начислено 2014</t>
  </si>
  <si>
    <t>ремонтные работы</t>
  </si>
  <si>
    <t>ремонт отопления кв.7</t>
  </si>
  <si>
    <t>ремонт отопления кв.3</t>
  </si>
  <si>
    <t>ремонт аварийного учатка пола</t>
  </si>
  <si>
    <t>ремонт ХВС кв.25</t>
  </si>
  <si>
    <t>ремонт ГВС</t>
  </si>
  <si>
    <t>ремонт ХВС кв.8</t>
  </si>
  <si>
    <t>ремонт каналиции</t>
  </si>
  <si>
    <t>ремонт подвала</t>
  </si>
  <si>
    <t>ремонтХСс и ГВС</t>
  </si>
  <si>
    <t>изготовление и установка дверей</t>
  </si>
  <si>
    <t>ремонт  отмостки дома</t>
  </si>
  <si>
    <t>частичный ремонт мягкой кровли</t>
  </si>
  <si>
    <t>установка почтовых ящиков</t>
  </si>
  <si>
    <t>стоимость работы произведенных 2014 г</t>
  </si>
  <si>
    <t>стоимость работ</t>
  </si>
  <si>
    <t>аварийный ремонт кровли</t>
  </si>
  <si>
    <t>дополнительные работы по ремонту кровли</t>
  </si>
  <si>
    <t>3.Целевые сборы</t>
  </si>
  <si>
    <t>4. Уборка КГМ</t>
  </si>
  <si>
    <t>Вывоз крупногабаритного мусора</t>
  </si>
  <si>
    <t>3. Уборка КГМ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</si>
</sst>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\ _р_."/>
    <numFmt numFmtId="181" formatCode="0.0"/>
    <numFmt numFmtId="182" formatCode="#,##0.00\ &quot;р.&quot;"/>
  </numFmts>
  <fonts count="33">
    <font>
      <sz val="11"/>
      <color indexed="8"/>
      <name val="Calibri"/>
      <family val="2"/>
    </font>
    <font>
      <sz val="14"/>
      <color indexed="8"/>
      <name val="Calibri"/>
      <family val="2"/>
    </font>
    <font>
      <sz val="20"/>
      <color indexed="8"/>
      <name val="Calibri"/>
      <family val="2"/>
    </font>
    <font>
      <sz val="16"/>
      <color indexed="8"/>
      <name val="Calibri"/>
      <family val="2"/>
    </font>
    <font>
      <sz val="22"/>
      <color indexed="8"/>
      <name val="Calibri"/>
      <family val="2"/>
    </font>
    <font>
      <b/>
      <sz val="16"/>
      <color indexed="8"/>
      <name val="Calibri"/>
      <family val="2"/>
    </font>
    <font>
      <b/>
      <i/>
      <sz val="16"/>
      <color indexed="8"/>
      <name val="Times New Roman"/>
      <family val="1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b/>
      <sz val="16"/>
      <color indexed="8"/>
      <name val="Times New Roman"/>
      <family val="1"/>
    </font>
    <font>
      <b/>
      <i/>
      <sz val="16"/>
      <color indexed="8"/>
      <name val="Calibri"/>
      <family val="2"/>
    </font>
    <font>
      <sz val="16"/>
      <color indexed="8"/>
      <name val="Times New Roman"/>
      <family val="1"/>
    </font>
    <font>
      <sz val="14"/>
      <name val="Arial Cyr"/>
      <family val="2"/>
    </font>
    <font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b/>
      <sz val="20"/>
      <color indexed="8"/>
      <name val="Times New Roman"/>
      <family val="1"/>
    </font>
    <font>
      <b/>
      <sz val="20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5" fillId="21" borderId="7" applyNumberFormat="0" applyAlignment="0" applyProtection="0"/>
    <xf numFmtId="0" fontId="14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19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271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 horizontal="right"/>
    </xf>
    <xf numFmtId="0" fontId="9" fillId="0" borderId="10" xfId="0" applyFont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3" fillId="0" borderId="10" xfId="0" applyFont="1" applyBorder="1" applyAlignment="1">
      <alignment/>
    </xf>
    <xf numFmtId="0" fontId="11" fillId="0" borderId="10" xfId="0" applyFont="1" applyBorder="1" applyAlignment="1">
      <alignment vertical="top" wrapText="1"/>
    </xf>
    <xf numFmtId="2" fontId="11" fillId="0" borderId="10" xfId="0" applyNumberFormat="1" applyFont="1" applyBorder="1" applyAlignment="1">
      <alignment vertical="top" wrapText="1"/>
    </xf>
    <xf numFmtId="0" fontId="11" fillId="0" borderId="10" xfId="0" applyFont="1" applyBorder="1" applyAlignment="1">
      <alignment wrapText="1"/>
    </xf>
    <xf numFmtId="0" fontId="3" fillId="0" borderId="10" xfId="0" applyFont="1" applyFill="1" applyBorder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 wrapText="1"/>
    </xf>
    <xf numFmtId="0" fontId="5" fillId="0" borderId="0" xfId="0" applyFont="1" applyBorder="1" applyAlignment="1">
      <alignment/>
    </xf>
    <xf numFmtId="0" fontId="11" fillId="0" borderId="10" xfId="0" applyFont="1" applyBorder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180" fontId="0" fillId="0" borderId="0" xfId="0" applyNumberFormat="1" applyAlignment="1">
      <alignment/>
    </xf>
    <xf numFmtId="180" fontId="3" fillId="0" borderId="10" xfId="0" applyNumberFormat="1" applyFont="1" applyBorder="1" applyAlignment="1">
      <alignment horizontal="center"/>
    </xf>
    <xf numFmtId="180" fontId="6" fillId="0" borderId="10" xfId="0" applyNumberFormat="1" applyFont="1" applyBorder="1" applyAlignment="1">
      <alignment horizontal="center" wrapText="1"/>
    </xf>
    <xf numFmtId="180" fontId="5" fillId="0" borderId="10" xfId="0" applyNumberFormat="1" applyFont="1" applyBorder="1" applyAlignment="1">
      <alignment horizontal="center"/>
    </xf>
    <xf numFmtId="180" fontId="11" fillId="0" borderId="10" xfId="0" applyNumberFormat="1" applyFont="1" applyBorder="1" applyAlignment="1">
      <alignment horizontal="center" vertical="top" wrapText="1"/>
    </xf>
    <xf numFmtId="180" fontId="11" fillId="0" borderId="10" xfId="0" applyNumberFormat="1" applyFont="1" applyBorder="1" applyAlignment="1">
      <alignment horizontal="center" wrapText="1"/>
    </xf>
    <xf numFmtId="180" fontId="9" fillId="0" borderId="10" xfId="0" applyNumberFormat="1" applyFont="1" applyBorder="1" applyAlignment="1">
      <alignment horizontal="center" wrapText="1"/>
    </xf>
    <xf numFmtId="180" fontId="5" fillId="0" borderId="10" xfId="0" applyNumberFormat="1" applyFont="1" applyBorder="1" applyAlignment="1">
      <alignment horizontal="center"/>
    </xf>
    <xf numFmtId="0" fontId="10" fillId="0" borderId="11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3" xfId="0" applyFont="1" applyBorder="1" applyAlignment="1">
      <alignment/>
    </xf>
    <xf numFmtId="180" fontId="3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9" fillId="0" borderId="10" xfId="0" applyFont="1" applyFill="1" applyBorder="1" applyAlignment="1">
      <alignment horizontal="center" wrapText="1"/>
    </xf>
    <xf numFmtId="0" fontId="9" fillId="0" borderId="0" xfId="0" applyFont="1" applyFill="1" applyAlignment="1">
      <alignment horizontal="center" wrapText="1"/>
    </xf>
    <xf numFmtId="180" fontId="3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wrapText="1"/>
    </xf>
    <xf numFmtId="180" fontId="6" fillId="0" borderId="10" xfId="0" applyNumberFormat="1" applyFont="1" applyFill="1" applyBorder="1" applyAlignment="1">
      <alignment horizontal="center" wrapText="1"/>
    </xf>
    <xf numFmtId="180" fontId="5" fillId="0" borderId="10" xfId="0" applyNumberFormat="1" applyFont="1" applyFill="1" applyBorder="1" applyAlignment="1">
      <alignment horizontal="center"/>
    </xf>
    <xf numFmtId="180" fontId="11" fillId="0" borderId="10" xfId="0" applyNumberFormat="1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wrapText="1"/>
    </xf>
    <xf numFmtId="180" fontId="11" fillId="0" borderId="1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/>
    </xf>
    <xf numFmtId="0" fontId="6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/>
    </xf>
    <xf numFmtId="0" fontId="3" fillId="0" borderId="0" xfId="0" applyFont="1" applyFill="1" applyAlignment="1">
      <alignment horizontal="right"/>
    </xf>
    <xf numFmtId="0" fontId="5" fillId="0" borderId="10" xfId="0" applyFont="1" applyFill="1" applyBorder="1" applyAlignment="1">
      <alignment horizontal="center" wrapText="1"/>
    </xf>
    <xf numFmtId="0" fontId="9" fillId="0" borderId="0" xfId="0" applyFont="1" applyFill="1" applyAlignment="1">
      <alignment horizontal="center"/>
    </xf>
    <xf numFmtId="0" fontId="11" fillId="0" borderId="10" xfId="0" applyFont="1" applyFill="1" applyBorder="1" applyAlignment="1">
      <alignment vertical="top"/>
    </xf>
    <xf numFmtId="180" fontId="3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/>
    </xf>
    <xf numFmtId="180" fontId="11" fillId="0" borderId="10" xfId="0" applyNumberFormat="1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/>
    </xf>
    <xf numFmtId="0" fontId="9" fillId="0" borderId="10" xfId="0" applyFont="1" applyFill="1" applyBorder="1" applyAlignment="1">
      <alignment wrapText="1"/>
    </xf>
    <xf numFmtId="180" fontId="9" fillId="0" borderId="10" xfId="0" applyNumberFormat="1" applyFont="1" applyFill="1" applyBorder="1" applyAlignment="1">
      <alignment horizontal="center" vertical="center" wrapText="1"/>
    </xf>
    <xf numFmtId="180" fontId="5" fillId="0" borderId="1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180" fontId="3" fillId="0" borderId="15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180" fontId="9" fillId="0" borderId="10" xfId="0" applyNumberFormat="1" applyFont="1" applyFill="1" applyBorder="1" applyAlignment="1">
      <alignment horizontal="center" wrapText="1"/>
    </xf>
    <xf numFmtId="2" fontId="3" fillId="0" borderId="0" xfId="0" applyNumberFormat="1" applyFont="1" applyFill="1" applyAlignment="1">
      <alignment/>
    </xf>
    <xf numFmtId="180" fontId="11" fillId="0" borderId="10" xfId="0" applyNumberFormat="1" applyFont="1" applyFill="1" applyBorder="1" applyAlignment="1">
      <alignment horizontal="center"/>
    </xf>
    <xf numFmtId="0" fontId="12" fillId="0" borderId="10" xfId="0" applyFont="1" applyFill="1" applyBorder="1" applyAlignment="1">
      <alignment wrapText="1"/>
    </xf>
    <xf numFmtId="180" fontId="7" fillId="0" borderId="0" xfId="0" applyNumberFormat="1" applyFont="1" applyFill="1" applyAlignment="1">
      <alignment horizontal="center"/>
    </xf>
    <xf numFmtId="180" fontId="0" fillId="0" borderId="0" xfId="0" applyNumberFormat="1" applyFill="1" applyBorder="1" applyAlignment="1">
      <alignment horizontal="center"/>
    </xf>
    <xf numFmtId="180" fontId="0" fillId="0" borderId="0" xfId="0" applyNumberFormat="1" applyFill="1" applyAlignment="1">
      <alignment horizontal="center"/>
    </xf>
    <xf numFmtId="0" fontId="3" fillId="0" borderId="10" xfId="0" applyFont="1" applyFill="1" applyBorder="1" applyAlignment="1">
      <alignment/>
    </xf>
    <xf numFmtId="180" fontId="5" fillId="0" borderId="1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180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0" fontId="12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right"/>
    </xf>
    <xf numFmtId="2" fontId="3" fillId="0" borderId="10" xfId="0" applyNumberFormat="1" applyFont="1" applyFill="1" applyBorder="1" applyAlignment="1">
      <alignment/>
    </xf>
    <xf numFmtId="180" fontId="3" fillId="0" borderId="10" xfId="0" applyNumberFormat="1" applyFont="1" applyFill="1" applyBorder="1" applyAlignment="1">
      <alignment/>
    </xf>
    <xf numFmtId="0" fontId="11" fillId="0" borderId="10" xfId="0" applyFont="1" applyFill="1" applyBorder="1" applyAlignment="1">
      <alignment vertical="top" wrapText="1"/>
    </xf>
    <xf numFmtId="2" fontId="11" fillId="0" borderId="10" xfId="0" applyNumberFormat="1" applyFont="1" applyFill="1" applyBorder="1" applyAlignment="1">
      <alignment vertical="top" wrapText="1"/>
    </xf>
    <xf numFmtId="180" fontId="11" fillId="0" borderId="10" xfId="0" applyNumberFormat="1" applyFont="1" applyFill="1" applyBorder="1" applyAlignment="1">
      <alignment wrapText="1"/>
    </xf>
    <xf numFmtId="180" fontId="9" fillId="0" borderId="10" xfId="0" applyNumberFormat="1" applyFont="1" applyFill="1" applyBorder="1" applyAlignment="1">
      <alignment wrapText="1"/>
    </xf>
    <xf numFmtId="180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39" fontId="5" fillId="0" borderId="19" xfId="42" applyNumberFormat="1" applyFont="1" applyFill="1" applyBorder="1" applyAlignment="1">
      <alignment horizontal="center"/>
    </xf>
    <xf numFmtId="0" fontId="6" fillId="0" borderId="17" xfId="0" applyFont="1" applyFill="1" applyBorder="1" applyAlignment="1">
      <alignment wrapText="1"/>
    </xf>
    <xf numFmtId="0" fontId="11" fillId="0" borderId="0" xfId="0" applyFont="1" applyFill="1" applyBorder="1" applyAlignment="1">
      <alignment/>
    </xf>
    <xf numFmtId="0" fontId="11" fillId="0" borderId="17" xfId="0" applyFont="1" applyFill="1" applyBorder="1" applyAlignment="1">
      <alignment vertical="top"/>
    </xf>
    <xf numFmtId="0" fontId="3" fillId="0" borderId="20" xfId="0" applyFont="1" applyFill="1" applyBorder="1" applyAlignment="1">
      <alignment/>
    </xf>
    <xf numFmtId="0" fontId="11" fillId="0" borderId="16" xfId="0" applyFont="1" applyFill="1" applyBorder="1" applyAlignment="1">
      <alignment/>
    </xf>
    <xf numFmtId="0" fontId="11" fillId="0" borderId="17" xfId="0" applyFont="1" applyFill="1" applyBorder="1" applyAlignment="1">
      <alignment/>
    </xf>
    <xf numFmtId="180" fontId="6" fillId="0" borderId="20" xfId="0" applyNumberFormat="1" applyFont="1" applyFill="1" applyBorder="1" applyAlignment="1">
      <alignment horizontal="center"/>
    </xf>
    <xf numFmtId="0" fontId="3" fillId="0" borderId="16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11" fillId="0" borderId="20" xfId="0" applyFont="1" applyFill="1" applyBorder="1" applyAlignment="1">
      <alignment/>
    </xf>
    <xf numFmtId="180" fontId="6" fillId="0" borderId="21" xfId="0" applyNumberFormat="1" applyFont="1" applyFill="1" applyBorder="1" applyAlignment="1">
      <alignment horizontal="center"/>
    </xf>
    <xf numFmtId="0" fontId="6" fillId="0" borderId="22" xfId="0" applyFont="1" applyFill="1" applyBorder="1" applyAlignment="1">
      <alignment/>
    </xf>
    <xf numFmtId="0" fontId="11" fillId="0" borderId="22" xfId="0" applyFont="1" applyFill="1" applyBorder="1" applyAlignment="1">
      <alignment/>
    </xf>
    <xf numFmtId="0" fontId="11" fillId="0" borderId="23" xfId="0" applyFont="1" applyFill="1" applyBorder="1" applyAlignment="1">
      <alignment/>
    </xf>
    <xf numFmtId="0" fontId="6" fillId="0" borderId="17" xfId="0" applyFont="1" applyBorder="1" applyAlignment="1">
      <alignment wrapText="1"/>
    </xf>
    <xf numFmtId="180" fontId="6" fillId="0" borderId="20" xfId="0" applyNumberFormat="1" applyFont="1" applyBorder="1" applyAlignment="1">
      <alignment horizontal="center"/>
    </xf>
    <xf numFmtId="0" fontId="6" fillId="0" borderId="16" xfId="0" applyFont="1" applyBorder="1" applyAlignment="1">
      <alignment/>
    </xf>
    <xf numFmtId="0" fontId="11" fillId="0" borderId="16" xfId="0" applyFont="1" applyBorder="1" applyAlignment="1">
      <alignment/>
    </xf>
    <xf numFmtId="0" fontId="11" fillId="0" borderId="17" xfId="0" applyFont="1" applyBorder="1" applyAlignment="1">
      <alignment/>
    </xf>
    <xf numFmtId="180" fontId="6" fillId="0" borderId="21" xfId="0" applyNumberFormat="1" applyFont="1" applyBorder="1" applyAlignment="1">
      <alignment horizontal="center"/>
    </xf>
    <xf numFmtId="0" fontId="6" fillId="0" borderId="22" xfId="0" applyFont="1" applyBorder="1" applyAlignment="1">
      <alignment/>
    </xf>
    <xf numFmtId="0" fontId="11" fillId="0" borderId="22" xfId="0" applyFont="1" applyBorder="1" applyAlignment="1">
      <alignment/>
    </xf>
    <xf numFmtId="0" fontId="11" fillId="0" borderId="23" xfId="0" applyFont="1" applyBorder="1" applyAlignment="1">
      <alignment/>
    </xf>
    <xf numFmtId="0" fontId="11" fillId="0" borderId="17" xfId="0" applyFont="1" applyBorder="1" applyAlignment="1">
      <alignment vertical="top"/>
    </xf>
    <xf numFmtId="0" fontId="11" fillId="0" borderId="20" xfId="0" applyFont="1" applyBorder="1" applyAlignment="1">
      <alignment/>
    </xf>
    <xf numFmtId="0" fontId="6" fillId="0" borderId="21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12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6" fillId="0" borderId="23" xfId="0" applyFont="1" applyBorder="1" applyAlignment="1">
      <alignment/>
    </xf>
    <xf numFmtId="180" fontId="9" fillId="0" borderId="20" xfId="0" applyNumberFormat="1" applyFont="1" applyFill="1" applyBorder="1" applyAlignment="1">
      <alignment horizontal="center"/>
    </xf>
    <xf numFmtId="180" fontId="9" fillId="0" borderId="21" xfId="0" applyNumberFormat="1" applyFont="1" applyBorder="1" applyAlignment="1">
      <alignment horizontal="center"/>
    </xf>
    <xf numFmtId="0" fontId="6" fillId="0" borderId="21" xfId="0" applyFont="1" applyBorder="1" applyAlignment="1">
      <alignment/>
    </xf>
    <xf numFmtId="2" fontId="0" fillId="0" borderId="0" xfId="0" applyNumberFormat="1" applyAlignment="1">
      <alignment/>
    </xf>
    <xf numFmtId="2" fontId="3" fillId="0" borderId="0" xfId="0" applyNumberFormat="1" applyFont="1" applyAlignment="1">
      <alignment/>
    </xf>
    <xf numFmtId="180" fontId="0" fillId="0" borderId="0" xfId="0" applyNumberFormat="1" applyFill="1" applyAlignment="1">
      <alignment/>
    </xf>
    <xf numFmtId="0" fontId="6" fillId="0" borderId="11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/>
    </xf>
    <xf numFmtId="2" fontId="0" fillId="0" borderId="0" xfId="0" applyNumberFormat="1" applyFill="1" applyAlignment="1">
      <alignment/>
    </xf>
    <xf numFmtId="180" fontId="3" fillId="0" borderId="0" xfId="0" applyNumberFormat="1" applyFont="1" applyFill="1" applyBorder="1" applyAlignment="1">
      <alignment horizontal="center"/>
    </xf>
    <xf numFmtId="180" fontId="9" fillId="0" borderId="17" xfId="0" applyNumberFormat="1" applyFont="1" applyFill="1" applyBorder="1" applyAlignment="1">
      <alignment horizontal="center" wrapText="1"/>
    </xf>
    <xf numFmtId="180" fontId="0" fillId="0" borderId="0" xfId="0" applyNumberFormat="1" applyFill="1" applyBorder="1" applyAlignment="1">
      <alignment/>
    </xf>
    <xf numFmtId="180" fontId="6" fillId="0" borderId="22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180" fontId="3" fillId="0" borderId="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180" fontId="3" fillId="0" borderId="10" xfId="0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/>
    </xf>
    <xf numFmtId="0" fontId="11" fillId="0" borderId="10" xfId="0" applyFont="1" applyBorder="1" applyAlignment="1">
      <alignment/>
    </xf>
    <xf numFmtId="180" fontId="9" fillId="0" borderId="20" xfId="0" applyNumberFormat="1" applyFont="1" applyBorder="1" applyAlignment="1">
      <alignment horizontal="center" wrapText="1"/>
    </xf>
    <xf numFmtId="180" fontId="5" fillId="0" borderId="20" xfId="0" applyNumberFormat="1" applyFont="1" applyBorder="1" applyAlignment="1">
      <alignment horizontal="center"/>
    </xf>
    <xf numFmtId="0" fontId="11" fillId="0" borderId="10" xfId="0" applyFont="1" applyBorder="1" applyAlignment="1">
      <alignment vertical="top"/>
    </xf>
    <xf numFmtId="180" fontId="3" fillId="0" borderId="10" xfId="0" applyNumberFormat="1" applyFont="1" applyFill="1" applyBorder="1" applyAlignment="1">
      <alignment/>
    </xf>
    <xf numFmtId="2" fontId="7" fillId="0" borderId="0" xfId="0" applyNumberFormat="1" applyFont="1" applyFill="1" applyAlignment="1">
      <alignment/>
    </xf>
    <xf numFmtId="0" fontId="0" fillId="0" borderId="0" xfId="0" applyBorder="1" applyAlignment="1">
      <alignment horizontal="center"/>
    </xf>
    <xf numFmtId="2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2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180" fontId="3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center" vertical="top" wrapText="1"/>
    </xf>
    <xf numFmtId="180" fontId="3" fillId="0" borderId="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/>
    </xf>
    <xf numFmtId="180" fontId="6" fillId="0" borderId="20" xfId="0" applyNumberFormat="1" applyFont="1" applyFill="1" applyBorder="1" applyAlignment="1">
      <alignment horizontal="center" vertical="top"/>
    </xf>
    <xf numFmtId="0" fontId="11" fillId="0" borderId="17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 wrapText="1"/>
    </xf>
    <xf numFmtId="0" fontId="11" fillId="0" borderId="20" xfId="0" applyFont="1" applyFill="1" applyBorder="1" applyAlignment="1">
      <alignment horizontal="center"/>
    </xf>
    <xf numFmtId="0" fontId="11" fillId="0" borderId="16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11" fillId="0" borderId="11" xfId="0" applyFont="1" applyFill="1" applyBorder="1" applyAlignment="1">
      <alignment horizontal="center" vertical="top" wrapText="1"/>
    </xf>
    <xf numFmtId="0" fontId="11" fillId="0" borderId="12" xfId="0" applyFont="1" applyFill="1" applyBorder="1" applyAlignment="1">
      <alignment horizontal="center" vertical="top" wrapText="1"/>
    </xf>
    <xf numFmtId="0" fontId="11" fillId="0" borderId="13" xfId="0" applyFont="1" applyFill="1" applyBorder="1" applyAlignment="1">
      <alignment horizontal="center" vertical="top" wrapText="1"/>
    </xf>
    <xf numFmtId="0" fontId="31" fillId="0" borderId="11" xfId="0" applyFont="1" applyFill="1" applyBorder="1" applyAlignment="1">
      <alignment horizontal="center" vertical="center"/>
    </xf>
    <xf numFmtId="0" fontId="31" fillId="0" borderId="12" xfId="0" applyFont="1" applyFill="1" applyBorder="1" applyAlignment="1">
      <alignment horizontal="center" vertical="center"/>
    </xf>
    <xf numFmtId="0" fontId="31" fillId="0" borderId="13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/>
    </xf>
    <xf numFmtId="0" fontId="3" fillId="0" borderId="25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6" fillId="0" borderId="11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 wrapText="1"/>
    </xf>
    <xf numFmtId="182" fontId="9" fillId="0" borderId="11" xfId="0" applyNumberFormat="1" applyFont="1" applyFill="1" applyBorder="1" applyAlignment="1">
      <alignment horizontal="center" vertical="center" wrapText="1"/>
    </xf>
    <xf numFmtId="182" fontId="9" fillId="0" borderId="12" xfId="0" applyNumberFormat="1" applyFont="1" applyFill="1" applyBorder="1" applyAlignment="1">
      <alignment horizontal="center" vertical="center" wrapText="1"/>
    </xf>
    <xf numFmtId="182" fontId="9" fillId="0" borderId="13" xfId="0" applyNumberFormat="1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/>
    </xf>
    <xf numFmtId="0" fontId="10" fillId="0" borderId="26" xfId="0" applyFont="1" applyFill="1" applyBorder="1" applyAlignment="1">
      <alignment horizontal="center"/>
    </xf>
    <xf numFmtId="0" fontId="10" fillId="0" borderId="27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32" fillId="0" borderId="10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 wrapText="1"/>
    </xf>
    <xf numFmtId="180" fontId="6" fillId="0" borderId="16" xfId="0" applyNumberFormat="1" applyFont="1" applyFill="1" applyBorder="1" applyAlignment="1">
      <alignment horizontal="center" vertical="top"/>
    </xf>
    <xf numFmtId="180" fontId="6" fillId="0" borderId="17" xfId="0" applyNumberFormat="1" applyFont="1" applyFill="1" applyBorder="1" applyAlignment="1">
      <alignment horizontal="center" vertical="top"/>
    </xf>
    <xf numFmtId="0" fontId="11" fillId="0" borderId="11" xfId="0" applyFont="1" applyFill="1" applyBorder="1" applyAlignment="1">
      <alignment horizontal="center" wrapText="1"/>
    </xf>
    <xf numFmtId="0" fontId="11" fillId="0" borderId="13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9" fillId="0" borderId="10" xfId="0" applyFont="1" applyFill="1" applyBorder="1" applyAlignment="1">
      <alignment horizontal="center" wrapText="1"/>
    </xf>
    <xf numFmtId="0" fontId="6" fillId="0" borderId="19" xfId="0" applyFont="1" applyFill="1" applyBorder="1" applyAlignment="1">
      <alignment horizontal="center" wrapText="1"/>
    </xf>
    <xf numFmtId="0" fontId="6" fillId="0" borderId="21" xfId="0" applyFont="1" applyFill="1" applyBorder="1" applyAlignment="1">
      <alignment horizontal="center" wrapText="1"/>
    </xf>
    <xf numFmtId="0" fontId="11" fillId="0" borderId="28" xfId="0" applyFont="1" applyFill="1" applyBorder="1" applyAlignment="1">
      <alignment/>
    </xf>
    <xf numFmtId="0" fontId="11" fillId="0" borderId="25" xfId="0" applyFont="1" applyFill="1" applyBorder="1" applyAlignment="1">
      <alignment/>
    </xf>
    <xf numFmtId="0" fontId="3" fillId="0" borderId="28" xfId="0" applyFont="1" applyFill="1" applyBorder="1" applyAlignment="1">
      <alignment/>
    </xf>
    <xf numFmtId="0" fontId="11" fillId="0" borderId="11" xfId="0" applyNumberFormat="1" applyFont="1" applyFill="1" applyBorder="1" applyAlignment="1">
      <alignment horizontal="center" vertical="top" wrapText="1"/>
    </xf>
    <xf numFmtId="0" fontId="11" fillId="0" borderId="12" xfId="0" applyNumberFormat="1" applyFont="1" applyFill="1" applyBorder="1" applyAlignment="1">
      <alignment horizontal="center" vertical="top" wrapText="1"/>
    </xf>
    <xf numFmtId="0" fontId="11" fillId="0" borderId="13" xfId="0" applyNumberFormat="1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horizontal="center" wrapText="1"/>
    </xf>
    <xf numFmtId="0" fontId="9" fillId="0" borderId="29" xfId="0" applyFont="1" applyFill="1" applyBorder="1" applyAlignment="1">
      <alignment horizontal="center" wrapText="1"/>
    </xf>
    <xf numFmtId="0" fontId="9" fillId="0" borderId="23" xfId="0" applyFont="1" applyFill="1" applyBorder="1" applyAlignment="1">
      <alignment horizontal="center" wrapText="1"/>
    </xf>
    <xf numFmtId="3" fontId="12" fillId="0" borderId="10" xfId="0" applyNumberFormat="1" applyFont="1" applyFill="1" applyBorder="1" applyAlignment="1">
      <alignment horizontal="center" vertical="top" wrapText="1"/>
    </xf>
    <xf numFmtId="0" fontId="9" fillId="0" borderId="30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 wrapText="1"/>
    </xf>
    <xf numFmtId="0" fontId="12" fillId="0" borderId="13" xfId="0" applyFont="1" applyFill="1" applyBorder="1" applyAlignment="1">
      <alignment horizontal="center" wrapText="1"/>
    </xf>
    <xf numFmtId="0" fontId="9" fillId="0" borderId="12" xfId="0" applyFont="1" applyFill="1" applyBorder="1" applyAlignment="1">
      <alignment horizontal="center" wrapText="1"/>
    </xf>
    <xf numFmtId="3" fontId="12" fillId="0" borderId="11" xfId="0" applyNumberFormat="1" applyFont="1" applyFill="1" applyBorder="1" applyAlignment="1">
      <alignment horizontal="center" wrapText="1"/>
    </xf>
    <xf numFmtId="3" fontId="12" fillId="0" borderId="13" xfId="0" applyNumberFormat="1" applyFont="1" applyFill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11" fillId="0" borderId="12" xfId="0" applyFont="1" applyBorder="1" applyAlignment="1">
      <alignment horizontal="center" wrapText="1"/>
    </xf>
    <xf numFmtId="0" fontId="11" fillId="0" borderId="13" xfId="0" applyFont="1" applyBorder="1" applyAlignment="1">
      <alignment horizontal="center" wrapText="1"/>
    </xf>
    <xf numFmtId="0" fontId="9" fillId="0" borderId="30" xfId="0" applyFont="1" applyBorder="1" applyAlignment="1">
      <alignment horizontal="center" wrapText="1"/>
    </xf>
    <xf numFmtId="0" fontId="9" fillId="0" borderId="23" xfId="0" applyFont="1" applyBorder="1" applyAlignment="1">
      <alignment horizontal="center" wrapText="1"/>
    </xf>
    <xf numFmtId="0" fontId="10" fillId="0" borderId="15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1" fillId="0" borderId="28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28" xfId="0" applyFont="1" applyBorder="1" applyAlignment="1">
      <alignment/>
    </xf>
    <xf numFmtId="0" fontId="11" fillId="0" borderId="11" xfId="0" applyFont="1" applyBorder="1" applyAlignment="1">
      <alignment horizontal="center" wrapText="1"/>
    </xf>
    <xf numFmtId="3" fontId="12" fillId="24" borderId="10" xfId="0" applyNumberFormat="1" applyFont="1" applyFill="1" applyBorder="1" applyAlignment="1">
      <alignment horizontal="center" vertical="top" wrapText="1"/>
    </xf>
    <xf numFmtId="0" fontId="12" fillId="24" borderId="10" xfId="0" applyFont="1" applyFill="1" applyBorder="1" applyAlignment="1">
      <alignment horizontal="center" wrapText="1"/>
    </xf>
    <xf numFmtId="3" fontId="12" fillId="0" borderId="11" xfId="0" applyNumberFormat="1" applyFont="1" applyFill="1" applyBorder="1" applyAlignment="1">
      <alignment horizontal="center" vertical="top" wrapText="1"/>
    </xf>
    <xf numFmtId="3" fontId="12" fillId="0" borderId="13" xfId="0" applyNumberFormat="1" applyFont="1" applyFill="1" applyBorder="1" applyAlignment="1">
      <alignment horizontal="center" vertical="top" wrapText="1"/>
    </xf>
    <xf numFmtId="0" fontId="11" fillId="0" borderId="12" xfId="0" applyFont="1" applyFill="1" applyBorder="1" applyAlignment="1">
      <alignment horizontal="center" wrapText="1"/>
    </xf>
    <xf numFmtId="0" fontId="12" fillId="0" borderId="31" xfId="0" applyFont="1" applyFill="1" applyBorder="1" applyAlignment="1">
      <alignment horizontal="center" wrapText="1"/>
    </xf>
    <xf numFmtId="0" fontId="12" fillId="0" borderId="21" xfId="0" applyFont="1" applyFill="1" applyBorder="1" applyAlignment="1">
      <alignment horizontal="center" wrapText="1"/>
    </xf>
    <xf numFmtId="0" fontId="3" fillId="0" borderId="31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11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1" fillId="0" borderId="31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9" fillId="0" borderId="11" xfId="0" applyFont="1" applyBorder="1" applyAlignment="1">
      <alignment horizontal="center" wrapText="1"/>
    </xf>
    <xf numFmtId="3" fontId="12" fillId="24" borderId="11" xfId="0" applyNumberFormat="1" applyFont="1" applyFill="1" applyBorder="1" applyAlignment="1">
      <alignment horizontal="center" vertical="top" wrapText="1"/>
    </xf>
    <xf numFmtId="3" fontId="12" fillId="24" borderId="13" xfId="0" applyNumberFormat="1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9" fillId="0" borderId="19" xfId="0" applyFont="1" applyBorder="1" applyAlignment="1">
      <alignment horizontal="center" wrapText="1"/>
    </xf>
    <xf numFmtId="0" fontId="9" fillId="0" borderId="21" xfId="0" applyFont="1" applyBorder="1" applyAlignment="1">
      <alignment horizontal="center" wrapText="1"/>
    </xf>
    <xf numFmtId="180" fontId="9" fillId="0" borderId="12" xfId="0" applyNumberFormat="1" applyFont="1" applyFill="1" applyBorder="1" applyAlignment="1">
      <alignment horizontal="center" wrapText="1"/>
    </xf>
    <xf numFmtId="180" fontId="9" fillId="0" borderId="13" xfId="0" applyNumberFormat="1" applyFont="1" applyFill="1" applyBorder="1" applyAlignment="1">
      <alignment horizontal="center" wrapText="1"/>
    </xf>
    <xf numFmtId="180" fontId="11" fillId="0" borderId="12" xfId="0" applyNumberFormat="1" applyFont="1" applyFill="1" applyBorder="1" applyAlignment="1">
      <alignment horizontal="center" wrapText="1"/>
    </xf>
    <xf numFmtId="180" fontId="11" fillId="0" borderId="13" xfId="0" applyNumberFormat="1" applyFont="1" applyFill="1" applyBorder="1" applyAlignment="1">
      <alignment horizontal="center" wrapText="1"/>
    </xf>
    <xf numFmtId="0" fontId="12" fillId="0" borderId="12" xfId="0" applyFont="1" applyFill="1" applyBorder="1" applyAlignment="1">
      <alignment horizontal="center" wrapText="1"/>
    </xf>
    <xf numFmtId="0" fontId="6" fillId="0" borderId="22" xfId="0" applyFont="1" applyFill="1" applyBorder="1" applyAlignment="1">
      <alignment/>
    </xf>
    <xf numFmtId="0" fontId="0" fillId="0" borderId="22" xfId="0" applyFill="1" applyBorder="1" applyAlignment="1">
      <alignment/>
    </xf>
    <xf numFmtId="0" fontId="11" fillId="0" borderId="16" xfId="0" applyFont="1" applyFill="1" applyBorder="1" applyAlignment="1">
      <alignment/>
    </xf>
    <xf numFmtId="0" fontId="0" fillId="0" borderId="16" xfId="0" applyFill="1" applyBorder="1" applyAlignment="1">
      <alignment/>
    </xf>
    <xf numFmtId="3" fontId="12" fillId="0" borderId="10" xfId="0" applyNumberFormat="1" applyFont="1" applyFill="1" applyBorder="1" applyAlignment="1">
      <alignment horizontal="center" wrapText="1"/>
    </xf>
    <xf numFmtId="180" fontId="11" fillId="0" borderId="30" xfId="0" applyNumberFormat="1" applyFont="1" applyFill="1" applyBorder="1" applyAlignment="1">
      <alignment horizontal="center" wrapText="1"/>
    </xf>
    <xf numFmtId="180" fontId="11" fillId="0" borderId="23" xfId="0" applyNumberFormat="1" applyFont="1" applyFill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3" fontId="12" fillId="24" borderId="10" xfId="0" applyNumberFormat="1" applyFont="1" applyFill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13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 wrapText="1"/>
    </xf>
    <xf numFmtId="3" fontId="12" fillId="24" borderId="11" xfId="0" applyNumberFormat="1" applyFont="1" applyFill="1" applyBorder="1" applyAlignment="1">
      <alignment horizontal="center" wrapText="1"/>
    </xf>
    <xf numFmtId="3" fontId="12" fillId="24" borderId="13" xfId="0" applyNumberFormat="1" applyFont="1" applyFill="1" applyBorder="1" applyAlignment="1">
      <alignment horizontal="center" wrapText="1"/>
    </xf>
    <xf numFmtId="0" fontId="3" fillId="0" borderId="29" xfId="0" applyFont="1" applyBorder="1" applyAlignment="1">
      <alignment horizontal="center"/>
    </xf>
    <xf numFmtId="0" fontId="3" fillId="0" borderId="23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3</xdr:col>
      <xdr:colOff>361950</xdr:colOff>
      <xdr:row>5</xdr:row>
      <xdr:rowOff>228600</xdr:rowOff>
    </xdr:to>
    <xdr:pic>
      <xdr:nvPicPr>
        <xdr:cNvPr id="1" name="Рисунок 4" descr="untitle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0"/>
          <a:ext cx="96202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361950</xdr:colOff>
      <xdr:row>5</xdr:row>
      <xdr:rowOff>228600</xdr:rowOff>
    </xdr:to>
    <xdr:pic>
      <xdr:nvPicPr>
        <xdr:cNvPr id="1" name="Рисунок 1" descr="untitle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6202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3</xdr:col>
      <xdr:colOff>361950</xdr:colOff>
      <xdr:row>5</xdr:row>
      <xdr:rowOff>228600</xdr:rowOff>
    </xdr:to>
    <xdr:pic>
      <xdr:nvPicPr>
        <xdr:cNvPr id="1" name="Рисунок 1" descr="untitle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0"/>
          <a:ext cx="96202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3</xdr:col>
      <xdr:colOff>361950</xdr:colOff>
      <xdr:row>5</xdr:row>
      <xdr:rowOff>228600</xdr:rowOff>
    </xdr:to>
    <xdr:pic>
      <xdr:nvPicPr>
        <xdr:cNvPr id="1" name="Рисунок 1" descr="untitle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0"/>
          <a:ext cx="96202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3</xdr:col>
      <xdr:colOff>361950</xdr:colOff>
      <xdr:row>5</xdr:row>
      <xdr:rowOff>228600</xdr:rowOff>
    </xdr:to>
    <xdr:pic>
      <xdr:nvPicPr>
        <xdr:cNvPr id="1" name="Рисунок 1" descr="untitle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0"/>
          <a:ext cx="96202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3</xdr:col>
      <xdr:colOff>361950</xdr:colOff>
      <xdr:row>5</xdr:row>
      <xdr:rowOff>228600</xdr:rowOff>
    </xdr:to>
    <xdr:pic>
      <xdr:nvPicPr>
        <xdr:cNvPr id="1" name="Рисунок 1" descr="untitle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0"/>
          <a:ext cx="96202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3</xdr:col>
      <xdr:colOff>361950</xdr:colOff>
      <xdr:row>5</xdr:row>
      <xdr:rowOff>228600</xdr:rowOff>
    </xdr:to>
    <xdr:pic>
      <xdr:nvPicPr>
        <xdr:cNvPr id="1" name="Рисунок 1" descr="untitle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0"/>
          <a:ext cx="96202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3</xdr:col>
      <xdr:colOff>361950</xdr:colOff>
      <xdr:row>5</xdr:row>
      <xdr:rowOff>228600</xdr:rowOff>
    </xdr:to>
    <xdr:pic>
      <xdr:nvPicPr>
        <xdr:cNvPr id="1" name="Рисунок 1" descr="untitle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0"/>
          <a:ext cx="96202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3</xdr:col>
      <xdr:colOff>361950</xdr:colOff>
      <xdr:row>5</xdr:row>
      <xdr:rowOff>228600</xdr:rowOff>
    </xdr:to>
    <xdr:pic>
      <xdr:nvPicPr>
        <xdr:cNvPr id="1" name="Рисунок 1" descr="untitle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0"/>
          <a:ext cx="96202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361950</xdr:colOff>
      <xdr:row>5</xdr:row>
      <xdr:rowOff>228600</xdr:rowOff>
    </xdr:to>
    <xdr:pic>
      <xdr:nvPicPr>
        <xdr:cNvPr id="1" name="Рисунок 1" descr="untitle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6202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3</xdr:col>
      <xdr:colOff>361950</xdr:colOff>
      <xdr:row>5</xdr:row>
      <xdr:rowOff>228600</xdr:rowOff>
    </xdr:to>
    <xdr:pic>
      <xdr:nvPicPr>
        <xdr:cNvPr id="1" name="Рисунок 1" descr="untitle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0"/>
          <a:ext cx="96202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361950</xdr:colOff>
      <xdr:row>5</xdr:row>
      <xdr:rowOff>228600</xdr:rowOff>
    </xdr:to>
    <xdr:pic>
      <xdr:nvPicPr>
        <xdr:cNvPr id="1" name="Рисунок 1" descr="untitle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6202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3</xdr:col>
      <xdr:colOff>361950</xdr:colOff>
      <xdr:row>5</xdr:row>
      <xdr:rowOff>228600</xdr:rowOff>
    </xdr:to>
    <xdr:pic>
      <xdr:nvPicPr>
        <xdr:cNvPr id="1" name="Рисунок 1" descr="untitle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0"/>
          <a:ext cx="101917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3</xdr:col>
      <xdr:colOff>361950</xdr:colOff>
      <xdr:row>5</xdr:row>
      <xdr:rowOff>228600</xdr:rowOff>
    </xdr:to>
    <xdr:pic>
      <xdr:nvPicPr>
        <xdr:cNvPr id="1" name="Рисунок 1" descr="untitle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0"/>
          <a:ext cx="96202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3</xdr:col>
      <xdr:colOff>361950</xdr:colOff>
      <xdr:row>5</xdr:row>
      <xdr:rowOff>228600</xdr:rowOff>
    </xdr:to>
    <xdr:pic>
      <xdr:nvPicPr>
        <xdr:cNvPr id="1" name="Рисунок 1" descr="untitle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0"/>
          <a:ext cx="96202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3</xdr:col>
      <xdr:colOff>361950</xdr:colOff>
      <xdr:row>5</xdr:row>
      <xdr:rowOff>228600</xdr:rowOff>
    </xdr:to>
    <xdr:pic>
      <xdr:nvPicPr>
        <xdr:cNvPr id="1" name="Рисунок 1" descr="untitle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0"/>
          <a:ext cx="96202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3</xdr:col>
      <xdr:colOff>361950</xdr:colOff>
      <xdr:row>5</xdr:row>
      <xdr:rowOff>228600</xdr:rowOff>
    </xdr:to>
    <xdr:pic>
      <xdr:nvPicPr>
        <xdr:cNvPr id="1" name="Рисунок 1" descr="untitle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0"/>
          <a:ext cx="96202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3</xdr:col>
      <xdr:colOff>361950</xdr:colOff>
      <xdr:row>5</xdr:row>
      <xdr:rowOff>228600</xdr:rowOff>
    </xdr:to>
    <xdr:pic>
      <xdr:nvPicPr>
        <xdr:cNvPr id="1" name="Рисунок 1" descr="untitle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0"/>
          <a:ext cx="96202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3</xdr:col>
      <xdr:colOff>361950</xdr:colOff>
      <xdr:row>5</xdr:row>
      <xdr:rowOff>228600</xdr:rowOff>
    </xdr:to>
    <xdr:pic>
      <xdr:nvPicPr>
        <xdr:cNvPr id="1" name="Рисунок 1" descr="untitle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0"/>
          <a:ext cx="96202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3</xdr:col>
      <xdr:colOff>361950</xdr:colOff>
      <xdr:row>5</xdr:row>
      <xdr:rowOff>228600</xdr:rowOff>
    </xdr:to>
    <xdr:pic>
      <xdr:nvPicPr>
        <xdr:cNvPr id="1" name="Рисунок 1" descr="untitle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0"/>
          <a:ext cx="96202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3</xdr:col>
      <xdr:colOff>361950</xdr:colOff>
      <xdr:row>5</xdr:row>
      <xdr:rowOff>228600</xdr:rowOff>
    </xdr:to>
    <xdr:pic>
      <xdr:nvPicPr>
        <xdr:cNvPr id="1" name="Рисунок 1" descr="untitle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0"/>
          <a:ext cx="96202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3</xdr:col>
      <xdr:colOff>361950</xdr:colOff>
      <xdr:row>5</xdr:row>
      <xdr:rowOff>228600</xdr:rowOff>
    </xdr:to>
    <xdr:pic>
      <xdr:nvPicPr>
        <xdr:cNvPr id="1" name="Рисунок 1" descr="untitle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0"/>
          <a:ext cx="96202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3</xdr:col>
      <xdr:colOff>361950</xdr:colOff>
      <xdr:row>5</xdr:row>
      <xdr:rowOff>228600</xdr:rowOff>
    </xdr:to>
    <xdr:pic>
      <xdr:nvPicPr>
        <xdr:cNvPr id="1" name="Рисунок 1" descr="untitle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0"/>
          <a:ext cx="96202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3</xdr:col>
      <xdr:colOff>361950</xdr:colOff>
      <xdr:row>5</xdr:row>
      <xdr:rowOff>228600</xdr:rowOff>
    </xdr:to>
    <xdr:pic>
      <xdr:nvPicPr>
        <xdr:cNvPr id="1" name="Рисунок 1" descr="untitle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0"/>
          <a:ext cx="96202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3</xdr:col>
      <xdr:colOff>361950</xdr:colOff>
      <xdr:row>5</xdr:row>
      <xdr:rowOff>228600</xdr:rowOff>
    </xdr:to>
    <xdr:pic>
      <xdr:nvPicPr>
        <xdr:cNvPr id="1" name="Рисунок 1" descr="untitle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0"/>
          <a:ext cx="96202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3</xdr:col>
      <xdr:colOff>361950</xdr:colOff>
      <xdr:row>5</xdr:row>
      <xdr:rowOff>228600</xdr:rowOff>
    </xdr:to>
    <xdr:pic>
      <xdr:nvPicPr>
        <xdr:cNvPr id="1" name="Рисунок 1" descr="untitle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0"/>
          <a:ext cx="96202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3</xdr:col>
      <xdr:colOff>361950</xdr:colOff>
      <xdr:row>5</xdr:row>
      <xdr:rowOff>228600</xdr:rowOff>
    </xdr:to>
    <xdr:pic>
      <xdr:nvPicPr>
        <xdr:cNvPr id="1" name="Рисунок 1" descr="untitle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0"/>
          <a:ext cx="96202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361950</xdr:colOff>
      <xdr:row>5</xdr:row>
      <xdr:rowOff>228600</xdr:rowOff>
    </xdr:to>
    <xdr:pic>
      <xdr:nvPicPr>
        <xdr:cNvPr id="1" name="Рисунок 1" descr="untitle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6202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J63"/>
  <sheetViews>
    <sheetView tabSelected="1" view="pageBreakPreview" zoomScale="73" zoomScaleSheetLayoutView="73" zoomScalePageLayoutView="0" workbookViewId="0" topLeftCell="B13">
      <selection activeCell="C52" sqref="C52:H54"/>
    </sheetView>
  </sheetViews>
  <sheetFormatPr defaultColWidth="9.140625" defaultRowHeight="15"/>
  <cols>
    <col min="1" max="2" width="9.140625" style="37" customWidth="1"/>
    <col min="3" max="3" width="9.00390625" style="37" customWidth="1"/>
    <col min="4" max="5" width="37.8515625" style="37" customWidth="1"/>
    <col min="6" max="6" width="44.421875" style="37" customWidth="1"/>
    <col min="7" max="7" width="34.140625" style="37" customWidth="1"/>
    <col min="8" max="8" width="45.8515625" style="37" customWidth="1"/>
    <col min="9" max="9" width="21.00390625" style="37" customWidth="1"/>
    <col min="10" max="10" width="18.140625" style="37" customWidth="1"/>
    <col min="11" max="16384" width="9.140625" style="37" customWidth="1"/>
  </cols>
  <sheetData>
    <row r="1" spans="4:7" s="35" customFormat="1" ht="28.5">
      <c r="D1" s="36" t="s">
        <v>24</v>
      </c>
      <c r="E1" s="36"/>
      <c r="F1" s="36"/>
      <c r="G1" s="36"/>
    </row>
    <row r="2" spans="4:7" s="35" customFormat="1" ht="28.5">
      <c r="D2" s="36" t="s">
        <v>25</v>
      </c>
      <c r="E2" s="36"/>
      <c r="F2" s="36"/>
      <c r="G2" s="36"/>
    </row>
    <row r="3" spans="4:8" ht="18.75">
      <c r="D3" s="38" t="s">
        <v>26</v>
      </c>
      <c r="E3" s="38"/>
      <c r="F3" s="38"/>
      <c r="G3" s="38"/>
      <c r="H3" s="39"/>
    </row>
    <row r="4" spans="4:8" ht="18.75">
      <c r="D4" s="38" t="s">
        <v>27</v>
      </c>
      <c r="E4" s="38"/>
      <c r="F4" s="38"/>
      <c r="G4" s="38"/>
      <c r="H4" s="39"/>
    </row>
    <row r="5" spans="4:8" ht="15">
      <c r="D5" s="39"/>
      <c r="E5" s="39"/>
      <c r="F5" s="39"/>
      <c r="G5" s="39"/>
      <c r="H5" s="39"/>
    </row>
    <row r="6" spans="4:7" s="40" customFormat="1" ht="26.25">
      <c r="D6" s="35" t="s">
        <v>28</v>
      </c>
      <c r="E6" s="35"/>
      <c r="F6" s="35"/>
      <c r="G6" s="35"/>
    </row>
    <row r="7" spans="4:7" s="40" customFormat="1" ht="26.25">
      <c r="D7" s="35" t="s">
        <v>29</v>
      </c>
      <c r="E7" s="35"/>
      <c r="F7" s="35"/>
      <c r="G7" s="35"/>
    </row>
    <row r="8" spans="4:7" s="40" customFormat="1" ht="26.25">
      <c r="D8" s="35" t="s">
        <v>125</v>
      </c>
      <c r="E8" s="35"/>
      <c r="F8" s="35"/>
      <c r="G8" s="35"/>
    </row>
    <row r="9" spans="4:8" ht="15">
      <c r="D9" s="39"/>
      <c r="E9" s="39"/>
      <c r="F9" s="39"/>
      <c r="G9" s="39"/>
      <c r="H9" s="39"/>
    </row>
    <row r="10" spans="3:8" ht="21">
      <c r="C10" s="40" t="s">
        <v>23</v>
      </c>
      <c r="D10" s="39"/>
      <c r="E10" s="39"/>
      <c r="F10" s="39"/>
      <c r="G10" s="39"/>
      <c r="H10" s="39"/>
    </row>
    <row r="11" spans="3:8" s="42" customFormat="1" ht="40.5">
      <c r="C11" s="41" t="s">
        <v>11</v>
      </c>
      <c r="D11" s="41" t="s">
        <v>12</v>
      </c>
      <c r="E11" s="41" t="s">
        <v>114</v>
      </c>
      <c r="F11" s="41" t="s">
        <v>13</v>
      </c>
      <c r="G11" s="41" t="s">
        <v>14</v>
      </c>
      <c r="H11" s="41" t="s">
        <v>10</v>
      </c>
    </row>
    <row r="12" spans="3:8" s="40" customFormat="1" ht="21">
      <c r="C12" s="181" t="s">
        <v>15</v>
      </c>
      <c r="D12" s="182"/>
      <c r="E12" s="182"/>
      <c r="F12" s="182"/>
      <c r="G12" s="182"/>
      <c r="H12" s="183"/>
    </row>
    <row r="13" spans="3:8" s="40" customFormat="1" ht="21">
      <c r="C13" s="15">
        <v>1</v>
      </c>
      <c r="D13" s="15" t="s">
        <v>16</v>
      </c>
      <c r="E13" s="43">
        <v>87974.51</v>
      </c>
      <c r="F13" s="43">
        <v>676048.11</v>
      </c>
      <c r="G13" s="43">
        <v>472647.03</v>
      </c>
      <c r="H13" s="43">
        <f>E13+F13-G13</f>
        <v>291375.58999999997</v>
      </c>
    </row>
    <row r="14" spans="3:8" s="40" customFormat="1" ht="21">
      <c r="C14" s="15">
        <v>2</v>
      </c>
      <c r="D14" s="15" t="s">
        <v>92</v>
      </c>
      <c r="E14" s="43">
        <v>8858.26</v>
      </c>
      <c r="F14" s="43">
        <v>53872.5</v>
      </c>
      <c r="G14" s="43">
        <v>50404.78</v>
      </c>
      <c r="H14" s="43">
        <f>E14+F14-G14</f>
        <v>12325.980000000003</v>
      </c>
    </row>
    <row r="15" spans="3:8" s="40" customFormat="1" ht="21">
      <c r="C15" s="15">
        <v>3</v>
      </c>
      <c r="D15" s="15" t="s">
        <v>17</v>
      </c>
      <c r="E15" s="43">
        <v>24534.7</v>
      </c>
      <c r="F15" s="43">
        <v>128890.86</v>
      </c>
      <c r="G15" s="43">
        <v>126521.44</v>
      </c>
      <c r="H15" s="43">
        <f>E15+F15-G15</f>
        <v>26904.119999999995</v>
      </c>
    </row>
    <row r="16" spans="3:8" s="40" customFormat="1" ht="41.25">
      <c r="C16" s="15"/>
      <c r="D16" s="44" t="s">
        <v>0</v>
      </c>
      <c r="E16" s="45">
        <f>SUM(E13:E15)</f>
        <v>121367.46999999999</v>
      </c>
      <c r="F16" s="46">
        <f>SUM(F13:F15)</f>
        <v>858811.47</v>
      </c>
      <c r="G16" s="46">
        <f>SUM(G13:G15)</f>
        <v>649573.25</v>
      </c>
      <c r="H16" s="46">
        <f>E16+F16-G16</f>
        <v>330605.68999999994</v>
      </c>
    </row>
    <row r="17" spans="3:8" s="40" customFormat="1" ht="21">
      <c r="C17" s="181" t="s">
        <v>19</v>
      </c>
      <c r="D17" s="182"/>
      <c r="E17" s="182"/>
      <c r="F17" s="182"/>
      <c r="G17" s="182"/>
      <c r="H17" s="183"/>
    </row>
    <row r="18" spans="3:8" s="40" customFormat="1" ht="21">
      <c r="C18" s="15">
        <v>4</v>
      </c>
      <c r="D18" s="15" t="s">
        <v>1</v>
      </c>
      <c r="E18" s="43">
        <v>215848.47</v>
      </c>
      <c r="F18" s="47">
        <f>1132592.02-47552.71</f>
        <v>1085039.31</v>
      </c>
      <c r="G18" s="47">
        <v>915990.04</v>
      </c>
      <c r="H18" s="47">
        <f>E18+F18-G18</f>
        <v>384897.74</v>
      </c>
    </row>
    <row r="19" spans="3:8" s="40" customFormat="1" ht="21">
      <c r="C19" s="15">
        <v>5</v>
      </c>
      <c r="D19" s="48" t="s">
        <v>2</v>
      </c>
      <c r="E19" s="49">
        <v>31256.67</v>
      </c>
      <c r="F19" s="47">
        <v>143863.3</v>
      </c>
      <c r="G19" s="47">
        <v>134919.28</v>
      </c>
      <c r="H19" s="47">
        <f>E19+F19-G19</f>
        <v>40200.68999999997</v>
      </c>
    </row>
    <row r="20" spans="3:8" s="40" customFormat="1" ht="21">
      <c r="C20" s="15">
        <v>6</v>
      </c>
      <c r="D20" s="48" t="s">
        <v>7</v>
      </c>
      <c r="E20" s="49">
        <v>110817.25</v>
      </c>
      <c r="F20" s="47">
        <v>453115.09</v>
      </c>
      <c r="G20" s="47">
        <v>327508.9</v>
      </c>
      <c r="H20" s="47">
        <f>E20+F20-G20</f>
        <v>236423.44000000006</v>
      </c>
    </row>
    <row r="21" spans="3:8" s="40" customFormat="1" ht="21">
      <c r="C21" s="15">
        <v>7</v>
      </c>
      <c r="D21" s="48" t="s">
        <v>3</v>
      </c>
      <c r="E21" s="49">
        <v>32552</v>
      </c>
      <c r="F21" s="47">
        <v>136159.28</v>
      </c>
      <c r="G21" s="47">
        <v>127600.01</v>
      </c>
      <c r="H21" s="47">
        <f>E21+F21-G21</f>
        <v>41111.270000000004</v>
      </c>
    </row>
    <row r="22" spans="3:8" s="40" customFormat="1" ht="41.25">
      <c r="C22" s="15">
        <v>8</v>
      </c>
      <c r="D22" s="48" t="s">
        <v>4</v>
      </c>
      <c r="E22" s="49">
        <v>54141.16</v>
      </c>
      <c r="F22" s="47">
        <f>320307.74+18622.17</f>
        <v>338929.91</v>
      </c>
      <c r="G22" s="47">
        <f>246259.77+16375.44+38002.71+1893.09</f>
        <v>302531.01</v>
      </c>
      <c r="H22" s="47">
        <f>E22+F22-G22</f>
        <v>90540.05999999994</v>
      </c>
    </row>
    <row r="23" spans="3:8" s="40" customFormat="1" ht="41.25">
      <c r="C23" s="15"/>
      <c r="D23" s="44" t="s">
        <v>5</v>
      </c>
      <c r="E23" s="45">
        <f>SUM(E18:E22)</f>
        <v>444615.55000000005</v>
      </c>
      <c r="F23" s="45">
        <f>SUM(F18:F22)</f>
        <v>2157106.89</v>
      </c>
      <c r="G23" s="45">
        <f>SUM(G18:G22)</f>
        <v>1808549.2400000002</v>
      </c>
      <c r="H23" s="45">
        <f>SUM(H18:H22)</f>
        <v>793173.2</v>
      </c>
    </row>
    <row r="24" spans="3:8" s="40" customFormat="1" ht="41.25">
      <c r="C24" s="15"/>
      <c r="D24" s="44" t="s">
        <v>6</v>
      </c>
      <c r="E24" s="45">
        <f>E16+E23</f>
        <v>565983.02</v>
      </c>
      <c r="F24" s="45">
        <f>F16+F23</f>
        <v>3015918.3600000003</v>
      </c>
      <c r="G24" s="45">
        <f>G16+G23</f>
        <v>2458122.49</v>
      </c>
      <c r="H24" s="45">
        <f>H16+H23</f>
        <v>1123778.89</v>
      </c>
    </row>
    <row r="25" spans="3:8" s="40" customFormat="1" ht="21">
      <c r="C25" s="50"/>
      <c r="D25" s="51"/>
      <c r="E25" s="51"/>
      <c r="F25" s="52"/>
      <c r="G25" s="52"/>
      <c r="H25" s="52"/>
    </row>
    <row r="26" spans="7:8" s="40" customFormat="1" ht="21">
      <c r="G26" s="53"/>
      <c r="H26" s="53" t="s">
        <v>20</v>
      </c>
    </row>
    <row r="27" spans="3:8" s="40" customFormat="1" ht="25.5">
      <c r="C27" s="170" t="s">
        <v>120</v>
      </c>
      <c r="D27" s="171"/>
      <c r="E27" s="171"/>
      <c r="F27" s="171"/>
      <c r="G27" s="171"/>
      <c r="H27" s="172"/>
    </row>
    <row r="28" spans="3:8" s="55" customFormat="1" ht="42" customHeight="1">
      <c r="C28" s="184" t="s">
        <v>121</v>
      </c>
      <c r="D28" s="185"/>
      <c r="E28" s="185"/>
      <c r="F28" s="186"/>
      <c r="G28" s="41" t="s">
        <v>21</v>
      </c>
      <c r="H28" s="54" t="s">
        <v>126</v>
      </c>
    </row>
    <row r="29" spans="3:8" s="40" customFormat="1" ht="208.5" customHeight="1">
      <c r="C29" s="167" t="s">
        <v>122</v>
      </c>
      <c r="D29" s="168"/>
      <c r="E29" s="168"/>
      <c r="F29" s="169"/>
      <c r="G29" s="57">
        <f>F13</f>
        <v>676048.11</v>
      </c>
      <c r="H29" s="57">
        <f>E13+F13-G13</f>
        <v>291375.58999999997</v>
      </c>
    </row>
    <row r="30" spans="3:8" s="40" customFormat="1" ht="38.25" customHeight="1">
      <c r="C30" s="170" t="s">
        <v>119</v>
      </c>
      <c r="D30" s="171"/>
      <c r="E30" s="171"/>
      <c r="F30" s="171"/>
      <c r="G30" s="171"/>
      <c r="H30" s="172"/>
    </row>
    <row r="31" spans="3:8" s="40" customFormat="1" ht="83.25" customHeight="1">
      <c r="C31" s="176" t="s">
        <v>132</v>
      </c>
      <c r="D31" s="177"/>
      <c r="E31" s="178" t="s">
        <v>121</v>
      </c>
      <c r="F31" s="179"/>
      <c r="G31" s="180"/>
      <c r="H31" s="89" t="s">
        <v>128</v>
      </c>
    </row>
    <row r="32" spans="3:8" s="40" customFormat="1" ht="21">
      <c r="C32" s="92"/>
      <c r="D32" s="93">
        <v>-103644.16</v>
      </c>
      <c r="E32" s="165" t="s">
        <v>133</v>
      </c>
      <c r="F32" s="165"/>
      <c r="G32" s="59">
        <v>700</v>
      </c>
      <c r="H32" s="57"/>
    </row>
    <row r="33" spans="3:8" s="40" customFormat="1" ht="21">
      <c r="C33" s="173"/>
      <c r="D33" s="90"/>
      <c r="E33" s="165" t="s">
        <v>134</v>
      </c>
      <c r="F33" s="165"/>
      <c r="G33" s="59">
        <v>811</v>
      </c>
      <c r="H33" s="57"/>
    </row>
    <row r="34" spans="3:8" s="40" customFormat="1" ht="21">
      <c r="C34" s="174"/>
      <c r="D34" s="50"/>
      <c r="E34" s="165" t="s">
        <v>108</v>
      </c>
      <c r="F34" s="165"/>
      <c r="G34" s="59">
        <f>65333+360+360+330+330+105+51+30+130+560+30+60+30+116+115+94+30</f>
        <v>68064</v>
      </c>
      <c r="H34" s="57"/>
    </row>
    <row r="35" spans="3:8" s="40" customFormat="1" ht="21">
      <c r="C35" s="174"/>
      <c r="D35" s="90"/>
      <c r="E35" s="165" t="s">
        <v>135</v>
      </c>
      <c r="F35" s="165"/>
      <c r="G35" s="59">
        <f>200+115+99+132</f>
        <v>546</v>
      </c>
      <c r="H35" s="57"/>
    </row>
    <row r="36" spans="3:8" s="40" customFormat="1" ht="21">
      <c r="C36" s="174"/>
      <c r="D36" s="90"/>
      <c r="E36" s="165" t="s">
        <v>136</v>
      </c>
      <c r="F36" s="165"/>
      <c r="G36" s="59">
        <f>34.4+29+11.8+2683.8+40+483</f>
        <v>3282</v>
      </c>
      <c r="H36" s="57"/>
    </row>
    <row r="37" spans="3:8" s="40" customFormat="1" ht="21">
      <c r="C37" s="174"/>
      <c r="D37" s="90"/>
      <c r="E37" s="165" t="s">
        <v>84</v>
      </c>
      <c r="F37" s="165"/>
      <c r="G37" s="59">
        <v>613</v>
      </c>
      <c r="H37" s="57"/>
    </row>
    <row r="38" spans="3:8" s="40" customFormat="1" ht="21">
      <c r="C38" s="174"/>
      <c r="D38" s="90"/>
      <c r="E38" s="165" t="s">
        <v>137</v>
      </c>
      <c r="F38" s="165"/>
      <c r="G38" s="59">
        <v>149</v>
      </c>
      <c r="H38" s="57"/>
    </row>
    <row r="39" spans="3:8" s="40" customFormat="1" ht="21">
      <c r="C39" s="174"/>
      <c r="D39" s="90"/>
      <c r="E39" s="165" t="s">
        <v>138</v>
      </c>
      <c r="F39" s="165"/>
      <c r="G39" s="59">
        <f>200+1533.6</f>
        <v>1733.6</v>
      </c>
      <c r="H39" s="57"/>
    </row>
    <row r="40" spans="3:8" s="40" customFormat="1" ht="21">
      <c r="C40" s="175"/>
      <c r="D40" s="91"/>
      <c r="E40" s="165"/>
      <c r="F40" s="165"/>
      <c r="G40" s="59"/>
      <c r="H40" s="57"/>
    </row>
    <row r="41" spans="3:8" s="40" customFormat="1" ht="41.25">
      <c r="C41" s="58"/>
      <c r="D41" s="60"/>
      <c r="E41" s="60"/>
      <c r="F41" s="61" t="s">
        <v>127</v>
      </c>
      <c r="G41" s="62">
        <f>SUM(G32:G40)</f>
        <v>75898.6</v>
      </c>
      <c r="H41" s="63">
        <f>G15-G41</f>
        <v>50622.84</v>
      </c>
    </row>
    <row r="42" spans="3:8" s="40" customFormat="1" ht="21">
      <c r="C42" s="58"/>
      <c r="D42" s="60"/>
      <c r="E42" s="60"/>
      <c r="F42" s="61" t="s">
        <v>139</v>
      </c>
      <c r="G42" s="62"/>
      <c r="H42" s="63">
        <f>D32+H41</f>
        <v>-53021.32000000001</v>
      </c>
    </row>
    <row r="43" spans="3:8" s="40" customFormat="1" ht="21">
      <c r="C43" s="56">
        <v>3</v>
      </c>
      <c r="D43" s="130" t="s">
        <v>22</v>
      </c>
      <c r="E43" s="166"/>
      <c r="F43" s="166"/>
      <c r="G43" s="58"/>
      <c r="H43" s="15"/>
    </row>
    <row r="44" spans="3:8" s="40" customFormat="1" ht="21">
      <c r="C44" s="163"/>
      <c r="D44" s="164"/>
      <c r="E44" s="166"/>
      <c r="F44" s="166"/>
      <c r="G44" s="58"/>
      <c r="H44" s="15"/>
    </row>
    <row r="45" spans="3:8" s="40" customFormat="1" ht="21">
      <c r="C45" s="163"/>
      <c r="D45" s="164"/>
      <c r="E45" s="166"/>
      <c r="F45" s="166"/>
      <c r="G45" s="58"/>
      <c r="H45" s="15"/>
    </row>
    <row r="46" spans="3:8" s="40" customFormat="1" ht="21">
      <c r="C46" s="153"/>
      <c r="D46" s="131"/>
      <c r="E46" s="148"/>
      <c r="F46" s="148"/>
      <c r="G46" s="95"/>
      <c r="H46" s="122"/>
    </row>
    <row r="47" spans="3:10" s="40" customFormat="1" ht="26.25">
      <c r="C47" s="187" t="s">
        <v>200</v>
      </c>
      <c r="D47" s="187"/>
      <c r="E47" s="187"/>
      <c r="F47" s="187"/>
      <c r="G47" s="187"/>
      <c r="H47" s="187"/>
      <c r="I47" s="187"/>
      <c r="J47" s="187"/>
    </row>
    <row r="48" spans="3:10" s="64" customFormat="1" ht="60.75">
      <c r="C48" s="41" t="s">
        <v>11</v>
      </c>
      <c r="D48" s="41" t="s">
        <v>50</v>
      </c>
      <c r="E48" s="41" t="s">
        <v>113</v>
      </c>
      <c r="F48" s="41" t="s">
        <v>114</v>
      </c>
      <c r="G48" s="41" t="s">
        <v>167</v>
      </c>
      <c r="H48" s="41" t="s">
        <v>130</v>
      </c>
      <c r="I48" s="41" t="s">
        <v>168</v>
      </c>
      <c r="J48" s="41" t="s">
        <v>115</v>
      </c>
    </row>
    <row r="49" spans="3:10" s="66" customFormat="1" ht="21">
      <c r="C49" s="15">
        <v>1</v>
      </c>
      <c r="D49" s="15" t="s">
        <v>100</v>
      </c>
      <c r="E49" s="43">
        <v>802011.66</v>
      </c>
      <c r="F49" s="43">
        <v>54685.06</v>
      </c>
      <c r="G49" s="43">
        <v>312624.89</v>
      </c>
      <c r="H49" s="65">
        <v>298136.04</v>
      </c>
      <c r="I49" s="43">
        <f>F49+G49-H49</f>
        <v>69173.91000000003</v>
      </c>
      <c r="J49" s="146">
        <f>E49-G49</f>
        <v>489386.77</v>
      </c>
    </row>
    <row r="50" spans="3:10" s="66" customFormat="1" ht="21">
      <c r="C50" s="50"/>
      <c r="D50" s="50"/>
      <c r="E50" s="138"/>
      <c r="F50" s="138"/>
      <c r="G50" s="138"/>
      <c r="H50" s="138"/>
      <c r="I50" s="138"/>
      <c r="J50" s="154"/>
    </row>
    <row r="52" spans="3:8" ht="25.5">
      <c r="C52" s="170" t="s">
        <v>201</v>
      </c>
      <c r="D52" s="171"/>
      <c r="E52" s="171"/>
      <c r="F52" s="171"/>
      <c r="G52" s="171"/>
      <c r="H52" s="172"/>
    </row>
    <row r="53" spans="3:8" ht="42">
      <c r="C53" s="184" t="s">
        <v>121</v>
      </c>
      <c r="D53" s="185"/>
      <c r="E53" s="185"/>
      <c r="F53" s="186"/>
      <c r="G53" s="41" t="s">
        <v>21</v>
      </c>
      <c r="H53" s="54" t="s">
        <v>126</v>
      </c>
    </row>
    <row r="54" spans="3:8" ht="21">
      <c r="C54" s="167" t="s">
        <v>202</v>
      </c>
      <c r="D54" s="168"/>
      <c r="E54" s="168"/>
      <c r="F54" s="169"/>
      <c r="G54" s="57">
        <v>4206.15</v>
      </c>
      <c r="H54" s="57">
        <f>G54</f>
        <v>4206.15</v>
      </c>
    </row>
    <row r="56" spans="4:5" ht="26.25">
      <c r="D56" s="35" t="s">
        <v>106</v>
      </c>
      <c r="E56" s="35"/>
    </row>
    <row r="57" spans="4:5" ht="26.25">
      <c r="D57" s="35" t="s">
        <v>107</v>
      </c>
      <c r="E57" s="35"/>
    </row>
    <row r="58" ht="15">
      <c r="G58" s="129">
        <f>G49+G24</f>
        <v>2770747.3800000004</v>
      </c>
    </row>
    <row r="59" ht="15">
      <c r="G59" s="37">
        <v>78469.85</v>
      </c>
    </row>
    <row r="60" ht="15">
      <c r="G60" s="37">
        <v>175881.12</v>
      </c>
    </row>
    <row r="61" ht="15">
      <c r="G61" s="37">
        <v>213212.79</v>
      </c>
    </row>
    <row r="62" ht="15">
      <c r="G62" s="37">
        <v>943.33</v>
      </c>
    </row>
    <row r="63" ht="15">
      <c r="G63" s="129">
        <f>SUM(G58:G62)</f>
        <v>3239254.4700000007</v>
      </c>
    </row>
  </sheetData>
  <sheetProtection/>
  <mergeCells count="27">
    <mergeCell ref="C52:H52"/>
    <mergeCell ref="C53:F53"/>
    <mergeCell ref="C54:F54"/>
    <mergeCell ref="C47:J47"/>
    <mergeCell ref="C12:H12"/>
    <mergeCell ref="C17:H17"/>
    <mergeCell ref="C27:H27"/>
    <mergeCell ref="C28:F28"/>
    <mergeCell ref="C29:F29"/>
    <mergeCell ref="C30:H30"/>
    <mergeCell ref="E33:F33"/>
    <mergeCell ref="E34:F34"/>
    <mergeCell ref="C33:C40"/>
    <mergeCell ref="C31:D31"/>
    <mergeCell ref="E31:G31"/>
    <mergeCell ref="E32:F32"/>
    <mergeCell ref="E35:F35"/>
    <mergeCell ref="E36:F36"/>
    <mergeCell ref="C44:C45"/>
    <mergeCell ref="D44:D45"/>
    <mergeCell ref="E37:F37"/>
    <mergeCell ref="E38:F38"/>
    <mergeCell ref="E39:F39"/>
    <mergeCell ref="E40:F40"/>
    <mergeCell ref="E43:F43"/>
    <mergeCell ref="E44:F44"/>
    <mergeCell ref="E45:F45"/>
  </mergeCells>
  <printOptions/>
  <pageMargins left="0.2362204724409449" right="0.2362204724409449" top="0.35433070866141736" bottom="0.35433070866141736" header="0.31496062992125984" footer="0.31496062992125984"/>
  <pageSetup fitToHeight="2" horizontalDpi="600" verticalDpi="600" orientation="landscape" paperSize="9" scale="57" r:id="rId2"/>
  <rowBreaks count="1" manualBreakCount="1">
    <brk id="29" min="2" max="9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53"/>
  <sheetViews>
    <sheetView view="pageBreakPreview" zoomScale="73" zoomScaleSheetLayoutView="73" zoomScalePageLayoutView="0" workbookViewId="0" topLeftCell="A24">
      <selection activeCell="E37" sqref="E37"/>
    </sheetView>
  </sheetViews>
  <sheetFormatPr defaultColWidth="9.140625" defaultRowHeight="15"/>
  <cols>
    <col min="1" max="1" width="9.00390625" style="37" customWidth="1"/>
    <col min="2" max="2" width="45.140625" style="37" customWidth="1"/>
    <col min="3" max="3" width="32.57421875" style="37" customWidth="1"/>
    <col min="4" max="4" width="37.00390625" style="37" customWidth="1"/>
    <col min="5" max="5" width="29.28125" style="37" customWidth="1"/>
    <col min="6" max="6" width="24.28125" style="37" customWidth="1"/>
    <col min="7" max="7" width="25.421875" style="37" customWidth="1"/>
    <col min="8" max="8" width="26.8515625" style="37" customWidth="1"/>
    <col min="9" max="9" width="4.7109375" style="37" customWidth="1"/>
    <col min="10" max="10" width="9.140625" style="37" hidden="1" customWidth="1"/>
    <col min="11" max="16384" width="9.140625" style="37" customWidth="1"/>
  </cols>
  <sheetData>
    <row r="1" spans="2:5" s="35" customFormat="1" ht="28.5">
      <c r="B1" s="36" t="s">
        <v>24</v>
      </c>
      <c r="C1" s="36"/>
      <c r="D1" s="36"/>
      <c r="E1" s="36"/>
    </row>
    <row r="2" spans="2:5" s="35" customFormat="1" ht="28.5">
      <c r="B2" s="36" t="s">
        <v>25</v>
      </c>
      <c r="C2" s="36"/>
      <c r="D2" s="36"/>
      <c r="E2" s="36"/>
    </row>
    <row r="3" spans="2:6" ht="18.75">
      <c r="B3" s="38" t="s">
        <v>26</v>
      </c>
      <c r="C3" s="38"/>
      <c r="D3" s="38"/>
      <c r="E3" s="38"/>
      <c r="F3" s="39"/>
    </row>
    <row r="4" spans="2:6" ht="18.75">
      <c r="B4" s="38" t="s">
        <v>27</v>
      </c>
      <c r="C4" s="38"/>
      <c r="D4" s="38"/>
      <c r="E4" s="38"/>
      <c r="F4" s="39"/>
    </row>
    <row r="5" spans="2:6" ht="15">
      <c r="B5" s="39"/>
      <c r="C5" s="39"/>
      <c r="D5" s="39"/>
      <c r="E5" s="39"/>
      <c r="F5" s="39"/>
    </row>
    <row r="6" spans="2:5" s="40" customFormat="1" ht="26.25">
      <c r="B6" s="35" t="s">
        <v>28</v>
      </c>
      <c r="C6" s="35"/>
      <c r="D6" s="35"/>
      <c r="E6" s="35"/>
    </row>
    <row r="7" spans="2:5" s="40" customFormat="1" ht="26.25">
      <c r="B7" s="35" t="s">
        <v>51</v>
      </c>
      <c r="C7" s="35"/>
      <c r="D7" s="35"/>
      <c r="E7" s="35"/>
    </row>
    <row r="8" spans="2:5" s="40" customFormat="1" ht="26.25">
      <c r="B8" s="35" t="s">
        <v>125</v>
      </c>
      <c r="C8" s="35"/>
      <c r="D8" s="35"/>
      <c r="E8" s="35"/>
    </row>
    <row r="9" spans="2:6" ht="15">
      <c r="B9" s="39"/>
      <c r="C9" s="39"/>
      <c r="D9" s="39"/>
      <c r="E9" s="39"/>
      <c r="F9" s="39"/>
    </row>
    <row r="10" spans="1:6" ht="21">
      <c r="A10" s="40" t="s">
        <v>52</v>
      </c>
      <c r="B10" s="39"/>
      <c r="C10" s="39"/>
      <c r="D10" s="39"/>
      <c r="E10" s="39"/>
      <c r="F10" s="39"/>
    </row>
    <row r="11" s="40" customFormat="1" ht="34.5" customHeight="1">
      <c r="F11" s="53" t="s">
        <v>18</v>
      </c>
    </row>
    <row r="12" spans="1:6" s="42" customFormat="1" ht="40.5">
      <c r="A12" s="41" t="s">
        <v>11</v>
      </c>
      <c r="B12" s="41" t="s">
        <v>12</v>
      </c>
      <c r="C12" s="41" t="s">
        <v>114</v>
      </c>
      <c r="D12" s="41" t="s">
        <v>13</v>
      </c>
      <c r="E12" s="41" t="s">
        <v>14</v>
      </c>
      <c r="F12" s="41" t="s">
        <v>10</v>
      </c>
    </row>
    <row r="13" spans="1:6" s="40" customFormat="1" ht="21">
      <c r="A13" s="181" t="s">
        <v>15</v>
      </c>
      <c r="B13" s="182"/>
      <c r="C13" s="182"/>
      <c r="D13" s="182"/>
      <c r="E13" s="182"/>
      <c r="F13" s="183"/>
    </row>
    <row r="14" spans="1:6" s="40" customFormat="1" ht="21">
      <c r="A14" s="15">
        <v>1</v>
      </c>
      <c r="B14" s="15" t="s">
        <v>16</v>
      </c>
      <c r="C14" s="43">
        <v>37093.89</v>
      </c>
      <c r="D14" s="43">
        <v>146536.16</v>
      </c>
      <c r="E14" s="43">
        <v>65982.68</v>
      </c>
      <c r="F14" s="43">
        <f>C14+D14-E14</f>
        <v>117647.37</v>
      </c>
    </row>
    <row r="15" spans="1:6" s="40" customFormat="1" ht="21">
      <c r="A15" s="15">
        <v>2</v>
      </c>
      <c r="B15" s="15" t="s">
        <v>17</v>
      </c>
      <c r="C15" s="43">
        <v>-5636.66</v>
      </c>
      <c r="D15" s="43">
        <v>12855.24</v>
      </c>
      <c r="E15" s="43">
        <v>16075.77</v>
      </c>
      <c r="F15" s="43">
        <f>C15+D15-E15</f>
        <v>-8857.19</v>
      </c>
    </row>
    <row r="16" spans="1:6" s="40" customFormat="1" ht="21" hidden="1">
      <c r="A16" s="15">
        <v>3</v>
      </c>
      <c r="B16" s="15" t="s">
        <v>116</v>
      </c>
      <c r="C16" s="43"/>
      <c r="D16" s="43"/>
      <c r="E16" s="43"/>
      <c r="F16" s="43">
        <f>C16+D16-E16</f>
        <v>0</v>
      </c>
    </row>
    <row r="17" spans="1:6" s="40" customFormat="1" ht="21">
      <c r="A17" s="15"/>
      <c r="B17" s="44" t="s">
        <v>0</v>
      </c>
      <c r="C17" s="45">
        <f>SUM(C14:C15)</f>
        <v>31457.23</v>
      </c>
      <c r="D17" s="45">
        <f>SUM(D14:D16)</f>
        <v>159391.4</v>
      </c>
      <c r="E17" s="45">
        <f>SUM(E14:E15)</f>
        <v>82058.45</v>
      </c>
      <c r="F17" s="45">
        <f>SUM(F14:F16)</f>
        <v>108790.18</v>
      </c>
    </row>
    <row r="18" spans="1:6" s="40" customFormat="1" ht="21">
      <c r="A18" s="181" t="s">
        <v>19</v>
      </c>
      <c r="B18" s="182"/>
      <c r="C18" s="182"/>
      <c r="D18" s="182"/>
      <c r="E18" s="182"/>
      <c r="F18" s="183"/>
    </row>
    <row r="19" spans="1:6" s="40" customFormat="1" ht="21">
      <c r="A19" s="15">
        <v>4</v>
      </c>
      <c r="B19" s="15" t="s">
        <v>1</v>
      </c>
      <c r="C19" s="43">
        <v>160589.72</v>
      </c>
      <c r="D19" s="47">
        <v>264880.46</v>
      </c>
      <c r="E19" s="47">
        <v>180348.99</v>
      </c>
      <c r="F19" s="47">
        <f>C19+D19-E19</f>
        <v>245121.19000000006</v>
      </c>
    </row>
    <row r="20" spans="1:6" s="40" customFormat="1" ht="21">
      <c r="A20" s="15">
        <v>5</v>
      </c>
      <c r="B20" s="48" t="s">
        <v>2</v>
      </c>
      <c r="C20" s="49">
        <v>23522.87</v>
      </c>
      <c r="D20" s="47">
        <v>42008.8</v>
      </c>
      <c r="E20" s="47">
        <v>29091.14</v>
      </c>
      <c r="F20" s="47">
        <f>C20+D20-E20</f>
        <v>36440.53</v>
      </c>
    </row>
    <row r="21" spans="1:6" s="40" customFormat="1" ht="21" hidden="1">
      <c r="A21" s="15">
        <v>5</v>
      </c>
      <c r="B21" s="48" t="s">
        <v>7</v>
      </c>
      <c r="C21" s="49"/>
      <c r="D21" s="47"/>
      <c r="E21" s="47"/>
      <c r="F21" s="47">
        <f>C21+D21-E21</f>
        <v>0</v>
      </c>
    </row>
    <row r="22" spans="1:6" s="40" customFormat="1" ht="21">
      <c r="A22" s="15">
        <v>6</v>
      </c>
      <c r="B22" s="48" t="s">
        <v>3</v>
      </c>
      <c r="C22" s="49">
        <v>14314.76</v>
      </c>
      <c r="D22" s="47">
        <v>25312.26</v>
      </c>
      <c r="E22" s="47">
        <v>17704.56</v>
      </c>
      <c r="F22" s="47">
        <f>C22+D22-E22</f>
        <v>21922.459999999995</v>
      </c>
    </row>
    <row r="23" spans="1:6" s="40" customFormat="1" ht="21" hidden="1">
      <c r="A23" s="15">
        <v>7</v>
      </c>
      <c r="B23" s="48" t="s">
        <v>4</v>
      </c>
      <c r="C23" s="49"/>
      <c r="D23" s="47"/>
      <c r="E23" s="47"/>
      <c r="F23" s="47"/>
    </row>
    <row r="24" spans="1:6" s="40" customFormat="1" ht="41.25">
      <c r="A24" s="15"/>
      <c r="B24" s="44" t="s">
        <v>5</v>
      </c>
      <c r="C24" s="45">
        <f>SUM(C19:C23)</f>
        <v>198427.35</v>
      </c>
      <c r="D24" s="45">
        <f>SUM(D19:D23)</f>
        <v>332201.52</v>
      </c>
      <c r="E24" s="45">
        <f>SUM(E19:E23)</f>
        <v>227144.69</v>
      </c>
      <c r="F24" s="45">
        <f>SUM(F19:F23)</f>
        <v>303484.1800000001</v>
      </c>
    </row>
    <row r="25" spans="1:6" s="40" customFormat="1" ht="41.25">
      <c r="A25" s="15"/>
      <c r="B25" s="44" t="s">
        <v>6</v>
      </c>
      <c r="C25" s="45">
        <f>C17+C24</f>
        <v>229884.58000000002</v>
      </c>
      <c r="D25" s="45">
        <f>D17+D24</f>
        <v>491592.92000000004</v>
      </c>
      <c r="E25" s="45">
        <f>E17+E24</f>
        <v>309203.14</v>
      </c>
      <c r="F25" s="45">
        <f>F17+F24</f>
        <v>412274.3600000001</v>
      </c>
    </row>
    <row r="26" spans="1:7" s="40" customFormat="1" ht="21">
      <c r="A26" s="50"/>
      <c r="B26" s="51"/>
      <c r="C26" s="51"/>
      <c r="D26" s="52"/>
      <c r="E26" s="52"/>
      <c r="F26" s="52"/>
      <c r="G26" s="78"/>
    </row>
    <row r="27" spans="1:6" s="40" customFormat="1" ht="21">
      <c r="A27" s="50"/>
      <c r="B27" s="51"/>
      <c r="C27" s="51"/>
      <c r="D27" s="52"/>
      <c r="E27" s="52"/>
      <c r="F27" s="52"/>
    </row>
    <row r="28" spans="5:6" s="40" customFormat="1" ht="21">
      <c r="E28" s="53"/>
      <c r="F28" s="53" t="s">
        <v>20</v>
      </c>
    </row>
    <row r="29" spans="1:6" s="40" customFormat="1" ht="25.5">
      <c r="A29" s="170" t="s">
        <v>120</v>
      </c>
      <c r="B29" s="171"/>
      <c r="C29" s="171"/>
      <c r="D29" s="171"/>
      <c r="E29" s="171"/>
      <c r="F29" s="172"/>
    </row>
    <row r="30" spans="1:6" s="40" customFormat="1" ht="63">
      <c r="A30" s="184" t="s">
        <v>121</v>
      </c>
      <c r="B30" s="185"/>
      <c r="C30" s="185"/>
      <c r="D30" s="186"/>
      <c r="E30" s="41" t="s">
        <v>21</v>
      </c>
      <c r="F30" s="54" t="s">
        <v>126</v>
      </c>
    </row>
    <row r="31" spans="1:6" s="40" customFormat="1" ht="188.25" customHeight="1">
      <c r="A31" s="201" t="s">
        <v>123</v>
      </c>
      <c r="B31" s="202"/>
      <c r="C31" s="202"/>
      <c r="D31" s="203"/>
      <c r="E31" s="57">
        <f>D14</f>
        <v>146536.16</v>
      </c>
      <c r="F31" s="57">
        <f>E14</f>
        <v>65982.68</v>
      </c>
    </row>
    <row r="32" spans="1:6" s="40" customFormat="1" ht="25.5">
      <c r="A32" s="170" t="s">
        <v>119</v>
      </c>
      <c r="B32" s="171"/>
      <c r="C32" s="171"/>
      <c r="D32" s="171"/>
      <c r="E32" s="171"/>
      <c r="F32" s="172"/>
    </row>
    <row r="33" spans="1:6" s="40" customFormat="1" ht="105">
      <c r="A33" s="196" t="s">
        <v>132</v>
      </c>
      <c r="B33" s="197"/>
      <c r="C33" s="178" t="s">
        <v>121</v>
      </c>
      <c r="D33" s="179"/>
      <c r="E33" s="180"/>
      <c r="F33" s="89" t="s">
        <v>128</v>
      </c>
    </row>
    <row r="34" spans="1:6" s="40" customFormat="1" ht="21">
      <c r="A34" s="103"/>
      <c r="B34" s="104">
        <v>-13034.83</v>
      </c>
      <c r="C34" s="234" t="s">
        <v>171</v>
      </c>
      <c r="D34" s="192"/>
      <c r="E34" s="49">
        <f>358.6+3280+2490+11.4+76+40+46+14+280+415+3389.07+5.14+37.24</f>
        <v>10442.449999999999</v>
      </c>
      <c r="F34" s="43"/>
    </row>
    <row r="35" spans="1:6" s="40" customFormat="1" ht="21">
      <c r="A35" s="98"/>
      <c r="B35" s="105"/>
      <c r="C35" s="234" t="s">
        <v>172</v>
      </c>
      <c r="D35" s="192"/>
      <c r="E35" s="49">
        <f>165+46+20+20+14</f>
        <v>265</v>
      </c>
      <c r="F35" s="43"/>
    </row>
    <row r="36" spans="1:6" s="40" customFormat="1" ht="21">
      <c r="A36" s="98"/>
      <c r="B36" s="105"/>
      <c r="C36" s="191" t="s">
        <v>173</v>
      </c>
      <c r="D36" s="192"/>
      <c r="E36" s="49">
        <f>26+26+16+32+80+63+38</f>
        <v>281</v>
      </c>
      <c r="F36" s="43"/>
    </row>
    <row r="37" spans="1:6" s="40" customFormat="1" ht="21">
      <c r="A37" s="98"/>
      <c r="B37" s="105"/>
      <c r="C37" s="191"/>
      <c r="D37" s="192"/>
      <c r="E37" s="49"/>
      <c r="F37" s="43"/>
    </row>
    <row r="38" spans="1:6" s="40" customFormat="1" ht="21">
      <c r="A38" s="98"/>
      <c r="B38" s="106"/>
      <c r="C38" s="208" t="s">
        <v>140</v>
      </c>
      <c r="D38" s="206"/>
      <c r="E38" s="68">
        <f>SUM(E34:E37)</f>
        <v>10988.449999999999</v>
      </c>
      <c r="F38" s="76">
        <f>E15-E38</f>
        <v>5087.3200000000015</v>
      </c>
    </row>
    <row r="39" spans="1:6" s="40" customFormat="1" ht="21">
      <c r="A39" s="99"/>
      <c r="B39" s="107"/>
      <c r="C39" s="213" t="s">
        <v>109</v>
      </c>
      <c r="D39" s="160"/>
      <c r="E39" s="68"/>
      <c r="F39" s="76">
        <f>B34+F38</f>
        <v>-7947.509999999998</v>
      </c>
    </row>
    <row r="40" spans="1:6" s="40" customFormat="1" ht="21">
      <c r="A40" s="96">
        <v>3</v>
      </c>
      <c r="B40" s="94" t="s">
        <v>22</v>
      </c>
      <c r="C40" s="211"/>
      <c r="D40" s="212"/>
      <c r="E40" s="58"/>
      <c r="F40" s="15"/>
    </row>
    <row r="41" spans="1:6" s="40" customFormat="1" ht="21">
      <c r="A41" s="193"/>
      <c r="B41" s="194"/>
      <c r="C41" s="204"/>
      <c r="D41" s="204"/>
      <c r="E41" s="58"/>
      <c r="F41" s="15"/>
    </row>
    <row r="42" spans="1:6" s="40" customFormat="1" ht="21">
      <c r="A42" s="194"/>
      <c r="B42" s="194"/>
      <c r="C42" s="207"/>
      <c r="D42" s="207"/>
      <c r="E42" s="58"/>
      <c r="F42" s="15"/>
    </row>
    <row r="43" spans="1:6" s="50" customFormat="1" ht="21">
      <c r="A43" s="120"/>
      <c r="B43" s="120"/>
      <c r="C43" s="120"/>
      <c r="D43" s="121"/>
      <c r="E43" s="95"/>
      <c r="F43" s="122"/>
    </row>
    <row r="44" spans="1:8" s="40" customFormat="1" ht="21">
      <c r="A44" s="79"/>
      <c r="B44" s="79"/>
      <c r="C44" s="79"/>
      <c r="D44" s="80"/>
      <c r="E44" s="77"/>
      <c r="F44" s="81"/>
      <c r="H44" s="81" t="s">
        <v>47</v>
      </c>
    </row>
    <row r="45" spans="1:8" s="40" customFormat="1" ht="87" customHeight="1">
      <c r="A45" s="41" t="s">
        <v>11</v>
      </c>
      <c r="B45" s="41" t="s">
        <v>50</v>
      </c>
      <c r="C45" s="41" t="s">
        <v>113</v>
      </c>
      <c r="D45" s="41" t="s">
        <v>111</v>
      </c>
      <c r="E45" s="41" t="s">
        <v>169</v>
      </c>
      <c r="F45" s="41" t="s">
        <v>170</v>
      </c>
      <c r="G45" s="41" t="s">
        <v>114</v>
      </c>
      <c r="H45" s="41" t="s">
        <v>117</v>
      </c>
    </row>
    <row r="46" spans="1:8" s="40" customFormat="1" ht="21">
      <c r="A46" s="15">
        <v>1</v>
      </c>
      <c r="B46" s="15" t="s">
        <v>90</v>
      </c>
      <c r="C46" s="43">
        <v>4766.43</v>
      </c>
      <c r="D46" s="43">
        <v>48709.06</v>
      </c>
      <c r="E46" s="43"/>
      <c r="F46" s="43">
        <v>15773.23</v>
      </c>
      <c r="G46" s="43">
        <f>D46+E46-F46</f>
        <v>32935.83</v>
      </c>
      <c r="H46" s="43">
        <f>C46-E46</f>
        <v>4766.43</v>
      </c>
    </row>
    <row r="47" s="64" customFormat="1" ht="15"/>
    <row r="48" spans="2:8" ht="26.25">
      <c r="B48" s="35" t="s">
        <v>106</v>
      </c>
      <c r="C48" s="35"/>
      <c r="H48" s="64"/>
    </row>
    <row r="49" spans="2:8" ht="26.25">
      <c r="B49" s="35" t="s">
        <v>107</v>
      </c>
      <c r="C49" s="35"/>
      <c r="H49" s="64"/>
    </row>
    <row r="50" ht="15">
      <c r="F50" s="132">
        <f>E25+F46</f>
        <v>324976.37</v>
      </c>
    </row>
    <row r="51" ht="15">
      <c r="F51" s="37">
        <v>63494.85</v>
      </c>
    </row>
    <row r="52" ht="15">
      <c r="F52" s="37">
        <v>52004.27</v>
      </c>
    </row>
    <row r="53" ht="15">
      <c r="F53" s="132">
        <f>SUM(F50:F52)</f>
        <v>440475.49</v>
      </c>
    </row>
  </sheetData>
  <sheetProtection/>
  <mergeCells count="19">
    <mergeCell ref="A33:B33"/>
    <mergeCell ref="C38:D38"/>
    <mergeCell ref="A13:F13"/>
    <mergeCell ref="A18:F18"/>
    <mergeCell ref="C35:D35"/>
    <mergeCell ref="A41:A42"/>
    <mergeCell ref="B41:B42"/>
    <mergeCell ref="C36:D36"/>
    <mergeCell ref="A29:F29"/>
    <mergeCell ref="A30:D30"/>
    <mergeCell ref="A31:D31"/>
    <mergeCell ref="A32:F32"/>
    <mergeCell ref="C37:D37"/>
    <mergeCell ref="C33:E33"/>
    <mergeCell ref="C34:D34"/>
    <mergeCell ref="C40:D40"/>
    <mergeCell ref="C41:D41"/>
    <mergeCell ref="C42:D42"/>
    <mergeCell ref="C39:D39"/>
  </mergeCells>
  <printOptions/>
  <pageMargins left="0.25" right="0.25" top="0.75" bottom="0.75" header="0.3" footer="0.3"/>
  <pageSetup horizontalDpi="600" verticalDpi="600" orientation="landscape" paperSize="9" scale="51" r:id="rId2"/>
  <rowBreaks count="1" manualBreakCount="1">
    <brk id="31" max="9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C1:H47"/>
  <sheetViews>
    <sheetView view="pageBreakPreview" zoomScale="73" zoomScaleSheetLayoutView="73" zoomScalePageLayoutView="0" workbookViewId="0" topLeftCell="B16">
      <selection activeCell="G33" sqref="G33"/>
    </sheetView>
  </sheetViews>
  <sheetFormatPr defaultColWidth="9.140625" defaultRowHeight="15"/>
  <cols>
    <col min="1" max="2" width="9.140625" style="37" customWidth="1"/>
    <col min="3" max="3" width="9.00390625" style="37" customWidth="1"/>
    <col min="4" max="5" width="37.8515625" style="37" customWidth="1"/>
    <col min="6" max="6" width="44.421875" style="37" customWidth="1"/>
    <col min="7" max="7" width="34.140625" style="37" customWidth="1"/>
    <col min="8" max="8" width="29.8515625" style="37" customWidth="1"/>
    <col min="9" max="16384" width="9.140625" style="37" customWidth="1"/>
  </cols>
  <sheetData>
    <row r="1" spans="4:7" s="35" customFormat="1" ht="28.5">
      <c r="D1" s="36" t="s">
        <v>24</v>
      </c>
      <c r="E1" s="36"/>
      <c r="F1" s="36"/>
      <c r="G1" s="36"/>
    </row>
    <row r="2" spans="4:7" s="35" customFormat="1" ht="28.5">
      <c r="D2" s="36" t="s">
        <v>25</v>
      </c>
      <c r="E2" s="36"/>
      <c r="F2" s="36"/>
      <c r="G2" s="36"/>
    </row>
    <row r="3" spans="4:8" ht="18.75">
      <c r="D3" s="38" t="s">
        <v>26</v>
      </c>
      <c r="E3" s="38"/>
      <c r="F3" s="38"/>
      <c r="G3" s="38"/>
      <c r="H3" s="39"/>
    </row>
    <row r="4" spans="4:8" ht="18.75">
      <c r="D4" s="38" t="s">
        <v>27</v>
      </c>
      <c r="E4" s="38"/>
      <c r="F4" s="38"/>
      <c r="G4" s="38"/>
      <c r="H4" s="39"/>
    </row>
    <row r="5" spans="4:8" ht="15">
      <c r="D5" s="39"/>
      <c r="E5" s="39"/>
      <c r="F5" s="39"/>
      <c r="G5" s="39"/>
      <c r="H5" s="39"/>
    </row>
    <row r="6" spans="4:7" s="40" customFormat="1" ht="26.25">
      <c r="D6" s="35" t="s">
        <v>28</v>
      </c>
      <c r="E6" s="35"/>
      <c r="F6" s="35"/>
      <c r="G6" s="35"/>
    </row>
    <row r="7" spans="4:7" s="40" customFormat="1" ht="26.25">
      <c r="D7" s="35" t="s">
        <v>55</v>
      </c>
      <c r="E7" s="35"/>
      <c r="F7" s="35"/>
      <c r="G7" s="35"/>
    </row>
    <row r="8" spans="4:7" s="40" customFormat="1" ht="26.25">
      <c r="D8" s="35" t="s">
        <v>125</v>
      </c>
      <c r="E8" s="35"/>
      <c r="F8" s="35"/>
      <c r="G8" s="35"/>
    </row>
    <row r="9" spans="4:8" ht="15">
      <c r="D9" s="39"/>
      <c r="E9" s="39"/>
      <c r="F9" s="39"/>
      <c r="G9" s="39"/>
      <c r="H9" s="39"/>
    </row>
    <row r="10" spans="3:8" ht="21">
      <c r="C10" s="40" t="s">
        <v>56</v>
      </c>
      <c r="D10" s="39"/>
      <c r="E10" s="39"/>
      <c r="F10" s="39"/>
      <c r="G10" s="39"/>
      <c r="H10" s="39"/>
    </row>
    <row r="11" s="40" customFormat="1" ht="34.5" customHeight="1">
      <c r="H11" s="53" t="s">
        <v>18</v>
      </c>
    </row>
    <row r="12" spans="3:8" s="42" customFormat="1" ht="40.5">
      <c r="C12" s="41" t="s">
        <v>11</v>
      </c>
      <c r="D12" s="41" t="s">
        <v>12</v>
      </c>
      <c r="E12" s="41" t="s">
        <v>114</v>
      </c>
      <c r="F12" s="41" t="s">
        <v>13</v>
      </c>
      <c r="G12" s="41" t="s">
        <v>14</v>
      </c>
      <c r="H12" s="41" t="s">
        <v>10</v>
      </c>
    </row>
    <row r="13" spans="3:8" s="40" customFormat="1" ht="21">
      <c r="C13" s="181" t="s">
        <v>15</v>
      </c>
      <c r="D13" s="182"/>
      <c r="E13" s="182"/>
      <c r="F13" s="182"/>
      <c r="G13" s="182"/>
      <c r="H13" s="183"/>
    </row>
    <row r="14" spans="3:8" s="40" customFormat="1" ht="21">
      <c r="C14" s="15">
        <v>1</v>
      </c>
      <c r="D14" s="15" t="s">
        <v>16</v>
      </c>
      <c r="E14" s="43">
        <v>11250.18</v>
      </c>
      <c r="F14" s="43">
        <v>92478.7</v>
      </c>
      <c r="G14" s="43">
        <v>63040.23</v>
      </c>
      <c r="H14" s="43">
        <f>E14+F14-G14</f>
        <v>40688.65</v>
      </c>
    </row>
    <row r="15" spans="3:8" s="40" customFormat="1" ht="21">
      <c r="C15" s="15">
        <v>2</v>
      </c>
      <c r="D15" s="15" t="s">
        <v>17</v>
      </c>
      <c r="E15" s="43">
        <v>3284.67</v>
      </c>
      <c r="F15" s="43">
        <v>18902.32</v>
      </c>
      <c r="G15" s="43">
        <v>16696.77</v>
      </c>
      <c r="H15" s="43">
        <f>E15+F15-G15</f>
        <v>5490.2199999999975</v>
      </c>
    </row>
    <row r="16" spans="3:8" s="40" customFormat="1" ht="41.25">
      <c r="C16" s="15"/>
      <c r="D16" s="44" t="s">
        <v>0</v>
      </c>
      <c r="E16" s="45">
        <f>SUM(E14:E15)</f>
        <v>14534.85</v>
      </c>
      <c r="F16" s="45">
        <f>SUM(F14:F15)</f>
        <v>111381.01999999999</v>
      </c>
      <c r="G16" s="45">
        <f>SUM(G14:G15)</f>
        <v>79737</v>
      </c>
      <c r="H16" s="45">
        <f>SUM(H14:H15)</f>
        <v>46178.869999999995</v>
      </c>
    </row>
    <row r="17" spans="3:8" s="40" customFormat="1" ht="21">
      <c r="C17" s="181" t="s">
        <v>19</v>
      </c>
      <c r="D17" s="182"/>
      <c r="E17" s="182"/>
      <c r="F17" s="182"/>
      <c r="G17" s="182"/>
      <c r="H17" s="183"/>
    </row>
    <row r="18" spans="3:8" s="40" customFormat="1" ht="21">
      <c r="C18" s="15">
        <v>3</v>
      </c>
      <c r="D18" s="15" t="s">
        <v>1</v>
      </c>
      <c r="E18" s="43">
        <v>48293.04</v>
      </c>
      <c r="F18" s="47">
        <v>272453.33</v>
      </c>
      <c r="G18" s="47">
        <v>200984.7</v>
      </c>
      <c r="H18" s="47">
        <f>E18+F18-G18</f>
        <v>119761.66999999998</v>
      </c>
    </row>
    <row r="19" spans="3:8" s="40" customFormat="1" ht="21">
      <c r="C19" s="15">
        <v>4</v>
      </c>
      <c r="D19" s="48" t="s">
        <v>2</v>
      </c>
      <c r="E19" s="49">
        <v>7736.44</v>
      </c>
      <c r="F19" s="47">
        <v>48172.18</v>
      </c>
      <c r="G19" s="47">
        <v>34004.08</v>
      </c>
      <c r="H19" s="47">
        <f>E19+F19-G19</f>
        <v>21904.54</v>
      </c>
    </row>
    <row r="20" spans="3:8" s="40" customFormat="1" ht="21">
      <c r="C20" s="15">
        <v>5</v>
      </c>
      <c r="D20" s="48" t="s">
        <v>3</v>
      </c>
      <c r="E20" s="49">
        <v>4808.71</v>
      </c>
      <c r="F20" s="47">
        <v>28961.61</v>
      </c>
      <c r="G20" s="47">
        <v>20622.49</v>
      </c>
      <c r="H20" s="47">
        <f>E20+F20-G20</f>
        <v>13147.829999999998</v>
      </c>
    </row>
    <row r="21" spans="3:8" s="40" customFormat="1" ht="41.25" hidden="1">
      <c r="C21" s="15">
        <v>7</v>
      </c>
      <c r="D21" s="48" t="s">
        <v>4</v>
      </c>
      <c r="E21" s="49"/>
      <c r="F21" s="47"/>
      <c r="G21" s="47"/>
      <c r="H21" s="47"/>
    </row>
    <row r="22" spans="3:8" s="40" customFormat="1" ht="41.25">
      <c r="C22" s="15"/>
      <c r="D22" s="44" t="s">
        <v>5</v>
      </c>
      <c r="E22" s="45">
        <f>SUM(E18:E21)</f>
        <v>60838.19</v>
      </c>
      <c r="F22" s="45">
        <f>SUM(F18:F21)</f>
        <v>349587.12</v>
      </c>
      <c r="G22" s="45">
        <f>SUM(G18:G21)</f>
        <v>255611.27000000002</v>
      </c>
      <c r="H22" s="45">
        <f>SUM(H18:H21)</f>
        <v>154814.03999999998</v>
      </c>
    </row>
    <row r="23" spans="3:8" s="40" customFormat="1" ht="41.25">
      <c r="C23" s="15"/>
      <c r="D23" s="44" t="s">
        <v>6</v>
      </c>
      <c r="E23" s="45">
        <f>E16+E22</f>
        <v>75373.04000000001</v>
      </c>
      <c r="F23" s="45">
        <f>F16+F22</f>
        <v>460968.14</v>
      </c>
      <c r="G23" s="45">
        <f>G16+G22</f>
        <v>335348.27</v>
      </c>
      <c r="H23" s="45">
        <f>H16+H22</f>
        <v>200992.90999999997</v>
      </c>
    </row>
    <row r="24" spans="3:8" s="40" customFormat="1" ht="21">
      <c r="C24" s="50"/>
      <c r="D24" s="51"/>
      <c r="E24" s="51"/>
      <c r="F24" s="52"/>
      <c r="G24" s="52"/>
      <c r="H24" s="52"/>
    </row>
    <row r="25" spans="3:8" s="40" customFormat="1" ht="21">
      <c r="C25" s="50"/>
      <c r="D25" s="51"/>
      <c r="E25" s="51"/>
      <c r="F25" s="52"/>
      <c r="G25" s="52"/>
      <c r="H25" s="52"/>
    </row>
    <row r="26" spans="7:8" s="40" customFormat="1" ht="21">
      <c r="G26" s="53"/>
      <c r="H26" s="53" t="s">
        <v>20</v>
      </c>
    </row>
    <row r="27" spans="3:8" s="40" customFormat="1" ht="25.5">
      <c r="C27" s="170" t="s">
        <v>120</v>
      </c>
      <c r="D27" s="171"/>
      <c r="E27" s="171"/>
      <c r="F27" s="171"/>
      <c r="G27" s="171"/>
      <c r="H27" s="172"/>
    </row>
    <row r="28" spans="3:8" s="40" customFormat="1" ht="63">
      <c r="C28" s="184" t="s">
        <v>121</v>
      </c>
      <c r="D28" s="185"/>
      <c r="E28" s="185"/>
      <c r="F28" s="186"/>
      <c r="G28" s="41" t="s">
        <v>21</v>
      </c>
      <c r="H28" s="54" t="s">
        <v>126</v>
      </c>
    </row>
    <row r="29" spans="3:8" s="40" customFormat="1" ht="189.75" customHeight="1">
      <c r="C29" s="201" t="s">
        <v>123</v>
      </c>
      <c r="D29" s="202"/>
      <c r="E29" s="202"/>
      <c r="F29" s="203"/>
      <c r="G29" s="57">
        <f>F14</f>
        <v>92478.7</v>
      </c>
      <c r="H29" s="57">
        <f>H14</f>
        <v>40688.65</v>
      </c>
    </row>
    <row r="30" spans="3:8" s="40" customFormat="1" ht="25.5">
      <c r="C30" s="170" t="s">
        <v>119</v>
      </c>
      <c r="D30" s="171"/>
      <c r="E30" s="171"/>
      <c r="F30" s="171"/>
      <c r="G30" s="171"/>
      <c r="H30" s="172"/>
    </row>
    <row r="31" spans="3:8" s="40" customFormat="1" ht="63">
      <c r="C31" s="196" t="s">
        <v>132</v>
      </c>
      <c r="D31" s="197"/>
      <c r="E31" s="178" t="s">
        <v>121</v>
      </c>
      <c r="F31" s="179"/>
      <c r="G31" s="180"/>
      <c r="H31" s="89" t="s">
        <v>128</v>
      </c>
    </row>
    <row r="32" spans="3:8" s="40" customFormat="1" ht="21">
      <c r="C32" s="103"/>
      <c r="D32" s="104">
        <v>24111.23</v>
      </c>
      <c r="E32" s="234" t="s">
        <v>176</v>
      </c>
      <c r="F32" s="192"/>
      <c r="G32" s="49">
        <v>1500</v>
      </c>
      <c r="H32" s="43"/>
    </row>
    <row r="33" spans="3:8" s="40" customFormat="1" ht="21">
      <c r="C33" s="98"/>
      <c r="D33" s="106"/>
      <c r="E33" s="213" t="s">
        <v>140</v>
      </c>
      <c r="F33" s="160"/>
      <c r="G33" s="68">
        <f>SUM(G32:G32)</f>
        <v>1500</v>
      </c>
      <c r="H33" s="76">
        <f>G15-G33</f>
        <v>15196.77</v>
      </c>
    </row>
    <row r="34" spans="3:8" s="40" customFormat="1" ht="21">
      <c r="C34" s="99"/>
      <c r="D34" s="107"/>
      <c r="E34" s="213" t="s">
        <v>141</v>
      </c>
      <c r="F34" s="160"/>
      <c r="G34" s="68"/>
      <c r="H34" s="76">
        <f>H33+D32</f>
        <v>39308</v>
      </c>
    </row>
    <row r="35" spans="3:8" s="40" customFormat="1" ht="21">
      <c r="C35" s="96">
        <v>3</v>
      </c>
      <c r="D35" s="94" t="s">
        <v>22</v>
      </c>
      <c r="E35" s="204"/>
      <c r="F35" s="204"/>
      <c r="G35" s="58"/>
      <c r="H35" s="15"/>
    </row>
    <row r="36" spans="3:8" s="40" customFormat="1" ht="21">
      <c r="C36" s="198"/>
      <c r="D36" s="200"/>
      <c r="E36" s="207"/>
      <c r="F36" s="207"/>
      <c r="G36" s="58"/>
      <c r="H36" s="15"/>
    </row>
    <row r="37" spans="3:8" s="40" customFormat="1" ht="21">
      <c r="C37" s="174"/>
      <c r="D37" s="174"/>
      <c r="E37" s="204"/>
      <c r="F37" s="204"/>
      <c r="G37" s="58"/>
      <c r="H37" s="15"/>
    </row>
    <row r="38" spans="3:8" s="40" customFormat="1" ht="21">
      <c r="C38" s="175"/>
      <c r="D38" s="175"/>
      <c r="E38" s="164"/>
      <c r="F38" s="164"/>
      <c r="G38" s="58"/>
      <c r="H38" s="15"/>
    </row>
    <row r="39" s="66" customFormat="1" ht="21">
      <c r="C39" s="40"/>
    </row>
    <row r="40" spans="4:7" s="64" customFormat="1" ht="26.25">
      <c r="D40" s="35" t="s">
        <v>106</v>
      </c>
      <c r="E40" s="35"/>
      <c r="F40" s="37"/>
      <c r="G40" s="37"/>
    </row>
    <row r="41" spans="4:5" ht="26.25">
      <c r="D41" s="35" t="s">
        <v>107</v>
      </c>
      <c r="E41" s="35"/>
    </row>
    <row r="43" ht="15">
      <c r="G43" s="129">
        <f>G23</f>
        <v>335348.27</v>
      </c>
    </row>
    <row r="44" ht="15">
      <c r="G44" s="37">
        <v>2506.22</v>
      </c>
    </row>
    <row r="45" ht="15">
      <c r="G45" s="37">
        <v>44912.75</v>
      </c>
    </row>
    <row r="46" ht="15">
      <c r="G46" s="37">
        <v>43470.67</v>
      </c>
    </row>
    <row r="47" ht="15">
      <c r="G47" s="129">
        <f>SUM(G43:G46)</f>
        <v>426237.91</v>
      </c>
    </row>
  </sheetData>
  <sheetProtection/>
  <mergeCells count="17">
    <mergeCell ref="E36:F36"/>
    <mergeCell ref="E37:F37"/>
    <mergeCell ref="E38:F38"/>
    <mergeCell ref="C13:H13"/>
    <mergeCell ref="C17:H17"/>
    <mergeCell ref="C36:C38"/>
    <mergeCell ref="D36:D38"/>
    <mergeCell ref="E34:F34"/>
    <mergeCell ref="C27:H27"/>
    <mergeCell ref="C28:F28"/>
    <mergeCell ref="C29:F29"/>
    <mergeCell ref="C30:H30"/>
    <mergeCell ref="E35:F35"/>
    <mergeCell ref="C31:D31"/>
    <mergeCell ref="E31:G31"/>
    <mergeCell ref="E32:F32"/>
    <mergeCell ref="E33:F33"/>
  </mergeCells>
  <printOptions/>
  <pageMargins left="0.25" right="0.25" top="0.75" bottom="0.75" header="0.3" footer="0.3"/>
  <pageSetup horizontalDpi="600" verticalDpi="600" orientation="landscape" paperSize="9" scale="70" r:id="rId2"/>
  <rowBreaks count="1" manualBreakCount="1">
    <brk id="25" min="2" max="7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C1:H52"/>
  <sheetViews>
    <sheetView view="pageBreakPreview" zoomScale="73" zoomScaleSheetLayoutView="73" zoomScalePageLayoutView="0" workbookViewId="0" topLeftCell="A22">
      <selection activeCell="G36" sqref="G36"/>
    </sheetView>
  </sheetViews>
  <sheetFormatPr defaultColWidth="9.140625" defaultRowHeight="15"/>
  <cols>
    <col min="1" max="2" width="9.140625" style="37" customWidth="1"/>
    <col min="3" max="3" width="9.00390625" style="37" customWidth="1"/>
    <col min="4" max="5" width="37.8515625" style="37" customWidth="1"/>
    <col min="6" max="6" width="44.421875" style="37" customWidth="1"/>
    <col min="7" max="7" width="34.140625" style="37" customWidth="1"/>
    <col min="8" max="8" width="31.140625" style="37" customWidth="1"/>
    <col min="9" max="9" width="12.8515625" style="37" customWidth="1"/>
    <col min="10" max="10" width="9.140625" style="37" hidden="1" customWidth="1"/>
    <col min="11" max="16384" width="9.140625" style="37" customWidth="1"/>
  </cols>
  <sheetData>
    <row r="1" spans="4:7" s="35" customFormat="1" ht="28.5">
      <c r="D1" s="36" t="s">
        <v>24</v>
      </c>
      <c r="E1" s="36"/>
      <c r="F1" s="36"/>
      <c r="G1" s="36"/>
    </row>
    <row r="2" spans="4:7" s="35" customFormat="1" ht="28.5">
      <c r="D2" s="36" t="s">
        <v>25</v>
      </c>
      <c r="E2" s="36"/>
      <c r="F2" s="36"/>
      <c r="G2" s="36"/>
    </row>
    <row r="3" spans="4:8" ht="18.75">
      <c r="D3" s="38" t="s">
        <v>26</v>
      </c>
      <c r="E3" s="38"/>
      <c r="F3" s="38"/>
      <c r="G3" s="38"/>
      <c r="H3" s="39"/>
    </row>
    <row r="4" spans="4:8" ht="18.75">
      <c r="D4" s="38" t="s">
        <v>27</v>
      </c>
      <c r="E4" s="38"/>
      <c r="F4" s="38"/>
      <c r="G4" s="38"/>
      <c r="H4" s="39"/>
    </row>
    <row r="5" spans="4:8" ht="15">
      <c r="D5" s="39"/>
      <c r="E5" s="39"/>
      <c r="F5" s="39"/>
      <c r="G5" s="39"/>
      <c r="H5" s="39"/>
    </row>
    <row r="6" spans="4:7" s="40" customFormat="1" ht="26.25">
      <c r="D6" s="35" t="s">
        <v>28</v>
      </c>
      <c r="E6" s="35"/>
      <c r="F6" s="35"/>
      <c r="G6" s="35"/>
    </row>
    <row r="7" spans="4:7" s="40" customFormat="1" ht="26.25">
      <c r="D7" s="35" t="s">
        <v>53</v>
      </c>
      <c r="E7" s="35"/>
      <c r="F7" s="35"/>
      <c r="G7" s="35"/>
    </row>
    <row r="8" spans="4:7" s="40" customFormat="1" ht="26.25">
      <c r="D8" s="35" t="s">
        <v>125</v>
      </c>
      <c r="E8" s="35"/>
      <c r="F8" s="35"/>
      <c r="G8" s="35"/>
    </row>
    <row r="9" spans="4:8" ht="15">
      <c r="D9" s="39"/>
      <c r="E9" s="39"/>
      <c r="F9" s="39"/>
      <c r="G9" s="39"/>
      <c r="H9" s="39"/>
    </row>
    <row r="10" spans="3:8" ht="21">
      <c r="C10" s="40" t="s">
        <v>54</v>
      </c>
      <c r="D10" s="39"/>
      <c r="E10" s="39"/>
      <c r="F10" s="39"/>
      <c r="G10" s="39"/>
      <c r="H10" s="39"/>
    </row>
    <row r="11" s="40" customFormat="1" ht="34.5" customHeight="1">
      <c r="H11" s="53" t="s">
        <v>18</v>
      </c>
    </row>
    <row r="12" spans="3:8" s="42" customFormat="1" ht="40.5">
      <c r="C12" s="41" t="s">
        <v>11</v>
      </c>
      <c r="D12" s="41" t="s">
        <v>12</v>
      </c>
      <c r="E12" s="41" t="s">
        <v>114</v>
      </c>
      <c r="F12" s="41" t="s">
        <v>13</v>
      </c>
      <c r="G12" s="41" t="s">
        <v>14</v>
      </c>
      <c r="H12" s="41" t="s">
        <v>10</v>
      </c>
    </row>
    <row r="13" spans="3:8" s="40" customFormat="1" ht="21">
      <c r="C13" s="181" t="s">
        <v>15</v>
      </c>
      <c r="D13" s="182"/>
      <c r="E13" s="182"/>
      <c r="F13" s="182"/>
      <c r="G13" s="182"/>
      <c r="H13" s="183"/>
    </row>
    <row r="14" spans="3:8" s="40" customFormat="1" ht="21">
      <c r="C14" s="15">
        <v>1</v>
      </c>
      <c r="D14" s="15" t="s">
        <v>16</v>
      </c>
      <c r="E14" s="43">
        <v>7403.15</v>
      </c>
      <c r="F14" s="43">
        <v>74940.84</v>
      </c>
      <c r="G14" s="43">
        <v>68600.79</v>
      </c>
      <c r="H14" s="43">
        <f>E14+F14-G14</f>
        <v>13743.199999999997</v>
      </c>
    </row>
    <row r="15" spans="3:8" s="40" customFormat="1" ht="21">
      <c r="C15" s="15">
        <v>2</v>
      </c>
      <c r="D15" s="15" t="s">
        <v>98</v>
      </c>
      <c r="E15" s="43">
        <v>1542.63</v>
      </c>
      <c r="F15" s="43">
        <v>16528.56</v>
      </c>
      <c r="G15" s="43">
        <v>15116.91</v>
      </c>
      <c r="H15" s="43">
        <f>E15+F15-G15</f>
        <v>2954.2800000000025</v>
      </c>
    </row>
    <row r="16" spans="3:8" s="40" customFormat="1" ht="21">
      <c r="C16" s="15">
        <v>3</v>
      </c>
      <c r="D16" s="15" t="s">
        <v>17</v>
      </c>
      <c r="E16" s="43">
        <v>2137.33</v>
      </c>
      <c r="F16" s="43">
        <v>19575.44</v>
      </c>
      <c r="G16" s="43">
        <v>19637.63</v>
      </c>
      <c r="H16" s="43">
        <f>E16+F16-G16</f>
        <v>2075.139999999996</v>
      </c>
    </row>
    <row r="17" spans="3:8" s="40" customFormat="1" ht="41.25">
      <c r="C17" s="15"/>
      <c r="D17" s="44" t="s">
        <v>0</v>
      </c>
      <c r="E17" s="45">
        <f>SUM(E14:E16)</f>
        <v>11083.109999999999</v>
      </c>
      <c r="F17" s="45">
        <f>SUM(F14:F16)</f>
        <v>111044.84</v>
      </c>
      <c r="G17" s="45">
        <f>SUM(G14:G16)</f>
        <v>103355.33</v>
      </c>
      <c r="H17" s="45">
        <f>SUM(H14:H16)</f>
        <v>18772.619999999995</v>
      </c>
    </row>
    <row r="18" spans="3:8" s="40" customFormat="1" ht="21">
      <c r="C18" s="181" t="s">
        <v>19</v>
      </c>
      <c r="D18" s="182"/>
      <c r="E18" s="182"/>
      <c r="F18" s="182"/>
      <c r="G18" s="182"/>
      <c r="H18" s="183"/>
    </row>
    <row r="19" spans="3:8" s="40" customFormat="1" ht="21">
      <c r="C19" s="15">
        <v>4</v>
      </c>
      <c r="D19" s="15" t="s">
        <v>1</v>
      </c>
      <c r="E19" s="43">
        <v>35868.65</v>
      </c>
      <c r="F19" s="47">
        <v>245815.43</v>
      </c>
      <c r="G19" s="47">
        <v>202042.76</v>
      </c>
      <c r="H19" s="47">
        <f>E19+F19-G19</f>
        <v>79641.32</v>
      </c>
    </row>
    <row r="20" spans="3:8" s="40" customFormat="1" ht="21">
      <c r="C20" s="15">
        <v>5</v>
      </c>
      <c r="D20" s="48" t="s">
        <v>2</v>
      </c>
      <c r="E20" s="49">
        <v>2887.22</v>
      </c>
      <c r="F20" s="47">
        <v>53691.27</v>
      </c>
      <c r="G20" s="47">
        <v>49965.54</v>
      </c>
      <c r="H20" s="47">
        <f>E20+F20-G20</f>
        <v>6612.949999999997</v>
      </c>
    </row>
    <row r="21" spans="3:8" s="40" customFormat="1" ht="21" hidden="1">
      <c r="C21" s="15">
        <v>5</v>
      </c>
      <c r="D21" s="48" t="s">
        <v>7</v>
      </c>
      <c r="E21" s="49"/>
      <c r="F21" s="47"/>
      <c r="G21" s="47"/>
      <c r="H21" s="47">
        <f>E21+F21-G21</f>
        <v>0</v>
      </c>
    </row>
    <row r="22" spans="3:8" s="40" customFormat="1" ht="21">
      <c r="C22" s="15">
        <v>6</v>
      </c>
      <c r="D22" s="48" t="s">
        <v>3</v>
      </c>
      <c r="E22" s="49">
        <v>1943.78</v>
      </c>
      <c r="F22" s="47">
        <v>32727.55</v>
      </c>
      <c r="G22" s="47">
        <v>30782.65</v>
      </c>
      <c r="H22" s="47">
        <f>E22+F22-G22</f>
        <v>3888.6800000000003</v>
      </c>
    </row>
    <row r="23" spans="3:8" s="40" customFormat="1" ht="41.25" hidden="1">
      <c r="C23" s="15">
        <v>7</v>
      </c>
      <c r="D23" s="48" t="s">
        <v>4</v>
      </c>
      <c r="E23" s="49"/>
      <c r="F23" s="47"/>
      <c r="G23" s="47"/>
      <c r="H23" s="47"/>
    </row>
    <row r="24" spans="3:8" s="40" customFormat="1" ht="41.25">
      <c r="C24" s="15"/>
      <c r="D24" s="44" t="s">
        <v>5</v>
      </c>
      <c r="E24" s="45">
        <f>SUM(E19:E23)</f>
        <v>40699.65</v>
      </c>
      <c r="F24" s="45">
        <f>SUM(F19:F23)</f>
        <v>332234.25</v>
      </c>
      <c r="G24" s="45">
        <f>SUM(G19:G23)</f>
        <v>282790.95</v>
      </c>
      <c r="H24" s="45">
        <f>SUM(H19:H23)</f>
        <v>90142.95000000001</v>
      </c>
    </row>
    <row r="25" spans="3:8" s="40" customFormat="1" ht="41.25">
      <c r="C25" s="15"/>
      <c r="D25" s="44" t="s">
        <v>6</v>
      </c>
      <c r="E25" s="45">
        <f>E17+E24</f>
        <v>51782.76</v>
      </c>
      <c r="F25" s="45">
        <f>F17+F24</f>
        <v>443279.08999999997</v>
      </c>
      <c r="G25" s="45">
        <f>G17+G24</f>
        <v>386146.28</v>
      </c>
      <c r="H25" s="45">
        <f>H17+H24</f>
        <v>108915.57</v>
      </c>
    </row>
    <row r="26" spans="3:8" s="40" customFormat="1" ht="21">
      <c r="C26" s="50"/>
      <c r="D26" s="51"/>
      <c r="E26" s="51"/>
      <c r="F26" s="52"/>
      <c r="G26" s="52"/>
      <c r="H26" s="52"/>
    </row>
    <row r="27" spans="3:8" s="40" customFormat="1" ht="21">
      <c r="C27" s="50"/>
      <c r="D27" s="51"/>
      <c r="E27" s="51"/>
      <c r="F27" s="52"/>
      <c r="G27" s="52"/>
      <c r="H27" s="52"/>
    </row>
    <row r="28" spans="7:8" s="40" customFormat="1" ht="21">
      <c r="G28" s="53"/>
      <c r="H28" s="53" t="s">
        <v>20</v>
      </c>
    </row>
    <row r="29" spans="3:8" s="40" customFormat="1" ht="25.5">
      <c r="C29" s="170" t="s">
        <v>120</v>
      </c>
      <c r="D29" s="171"/>
      <c r="E29" s="171"/>
      <c r="F29" s="171"/>
      <c r="G29" s="171"/>
      <c r="H29" s="172"/>
    </row>
    <row r="30" spans="3:8" s="40" customFormat="1" ht="42">
      <c r="C30" s="184" t="s">
        <v>121</v>
      </c>
      <c r="D30" s="185"/>
      <c r="E30" s="185"/>
      <c r="F30" s="186"/>
      <c r="G30" s="41" t="s">
        <v>21</v>
      </c>
      <c r="H30" s="54" t="s">
        <v>126</v>
      </c>
    </row>
    <row r="31" spans="3:8" s="40" customFormat="1" ht="193.5" customHeight="1">
      <c r="C31" s="201" t="s">
        <v>123</v>
      </c>
      <c r="D31" s="202"/>
      <c r="E31" s="202"/>
      <c r="F31" s="203"/>
      <c r="G31" s="57">
        <f>F14</f>
        <v>74940.84</v>
      </c>
      <c r="H31" s="57">
        <f>H14</f>
        <v>13743.199999999997</v>
      </c>
    </row>
    <row r="32" spans="3:8" s="40" customFormat="1" ht="25.5">
      <c r="C32" s="170" t="s">
        <v>119</v>
      </c>
      <c r="D32" s="171"/>
      <c r="E32" s="171"/>
      <c r="F32" s="171"/>
      <c r="G32" s="171"/>
      <c r="H32" s="172"/>
    </row>
    <row r="33" spans="3:8" s="40" customFormat="1" ht="63">
      <c r="C33" s="196" t="s">
        <v>132</v>
      </c>
      <c r="D33" s="197"/>
      <c r="E33" s="178" t="s">
        <v>121</v>
      </c>
      <c r="F33" s="179"/>
      <c r="G33" s="180"/>
      <c r="H33" s="89" t="s">
        <v>128</v>
      </c>
    </row>
    <row r="34" spans="3:8" s="40" customFormat="1" ht="21">
      <c r="C34" s="103"/>
      <c r="D34" s="104">
        <v>8393.18</v>
      </c>
      <c r="E34" s="234" t="s">
        <v>31</v>
      </c>
      <c r="F34" s="192"/>
      <c r="G34" s="49">
        <f>3500+632+60+24+49+32+153+918+224+18.04+46+92+8.2+14+28+18.04+20+40+60+790</f>
        <v>6726.28</v>
      </c>
      <c r="H34" s="43"/>
    </row>
    <row r="35" spans="3:8" s="40" customFormat="1" ht="21">
      <c r="C35" s="98"/>
      <c r="D35" s="105"/>
      <c r="E35" s="234" t="s">
        <v>175</v>
      </c>
      <c r="F35" s="192"/>
      <c r="G35" s="49">
        <f>383.4+1502.22+38+5+72+66+34.4+11.8+29</f>
        <v>2141.82</v>
      </c>
      <c r="H35" s="43"/>
    </row>
    <row r="36" spans="3:8" s="40" customFormat="1" ht="21">
      <c r="C36" s="98"/>
      <c r="D36" s="105"/>
      <c r="E36" s="235"/>
      <c r="F36" s="236"/>
      <c r="G36" s="49"/>
      <c r="H36" s="43"/>
    </row>
    <row r="37" spans="3:8" s="40" customFormat="1" ht="21">
      <c r="C37" s="98"/>
      <c r="D37" s="106"/>
      <c r="E37" s="213" t="s">
        <v>174</v>
      </c>
      <c r="F37" s="160"/>
      <c r="G37" s="68">
        <f>SUM(G34:G36)</f>
        <v>8868.1</v>
      </c>
      <c r="H37" s="76">
        <f>G16-G37</f>
        <v>10769.53</v>
      </c>
    </row>
    <row r="38" spans="3:8" s="40" customFormat="1" ht="21">
      <c r="C38" s="99"/>
      <c r="D38" s="107"/>
      <c r="E38" s="213" t="s">
        <v>141</v>
      </c>
      <c r="F38" s="160"/>
      <c r="G38" s="68"/>
      <c r="H38" s="76">
        <f>D34+H37</f>
        <v>19162.71</v>
      </c>
    </row>
    <row r="39" spans="3:8" s="40" customFormat="1" ht="21">
      <c r="C39" s="96">
        <v>3</v>
      </c>
      <c r="D39" s="94" t="s">
        <v>22</v>
      </c>
      <c r="E39" s="204"/>
      <c r="F39" s="204"/>
      <c r="G39" s="58"/>
      <c r="H39" s="15"/>
    </row>
    <row r="40" spans="3:8" s="40" customFormat="1" ht="21">
      <c r="C40" s="198"/>
      <c r="D40" s="200"/>
      <c r="E40" s="204"/>
      <c r="F40" s="204"/>
      <c r="G40" s="58"/>
      <c r="H40" s="15"/>
    </row>
    <row r="41" spans="3:8" s="40" customFormat="1" ht="21">
      <c r="C41" s="174"/>
      <c r="D41" s="174"/>
      <c r="E41" s="204"/>
      <c r="F41" s="204"/>
      <c r="G41" s="58"/>
      <c r="H41" s="15"/>
    </row>
    <row r="42" spans="3:8" s="40" customFormat="1" ht="21">
      <c r="C42" s="174"/>
      <c r="D42" s="174"/>
      <c r="E42" s="207"/>
      <c r="F42" s="207"/>
      <c r="G42" s="58"/>
      <c r="H42" s="15"/>
    </row>
    <row r="43" spans="3:8" s="40" customFormat="1" ht="21">
      <c r="C43" s="174"/>
      <c r="D43" s="174"/>
      <c r="E43" s="164"/>
      <c r="F43" s="164"/>
      <c r="G43" s="58"/>
      <c r="H43" s="15"/>
    </row>
    <row r="44" spans="3:8" s="40" customFormat="1" ht="21">
      <c r="C44" s="175"/>
      <c r="D44" s="175"/>
      <c r="E44" s="164"/>
      <c r="F44" s="164"/>
      <c r="G44" s="58"/>
      <c r="H44" s="15"/>
    </row>
    <row r="46" spans="3:4" ht="26.25">
      <c r="C46" s="35" t="s">
        <v>106</v>
      </c>
      <c r="D46" s="35"/>
    </row>
    <row r="47" spans="3:4" ht="26.25">
      <c r="C47" s="35" t="s">
        <v>107</v>
      </c>
      <c r="D47" s="35"/>
    </row>
    <row r="49" ht="15">
      <c r="G49" s="129">
        <f>G25</f>
        <v>386146.28</v>
      </c>
    </row>
    <row r="50" ht="15">
      <c r="G50" s="37">
        <v>36771.1</v>
      </c>
    </row>
    <row r="51" ht="15">
      <c r="G51" s="37">
        <v>11446.27</v>
      </c>
    </row>
    <row r="52" ht="15">
      <c r="G52" s="129">
        <f>SUM(G49:G51)</f>
        <v>434363.65</v>
      </c>
    </row>
  </sheetData>
  <sheetProtection/>
  <mergeCells count="21">
    <mergeCell ref="E43:F43"/>
    <mergeCell ref="E44:F44"/>
    <mergeCell ref="E39:F39"/>
    <mergeCell ref="E40:F40"/>
    <mergeCell ref="E41:F41"/>
    <mergeCell ref="E42:F42"/>
    <mergeCell ref="C13:H13"/>
    <mergeCell ref="C18:H18"/>
    <mergeCell ref="C40:C44"/>
    <mergeCell ref="D40:D44"/>
    <mergeCell ref="E36:F36"/>
    <mergeCell ref="C29:H29"/>
    <mergeCell ref="C30:F30"/>
    <mergeCell ref="C31:F31"/>
    <mergeCell ref="C32:H32"/>
    <mergeCell ref="C33:D33"/>
    <mergeCell ref="E38:F38"/>
    <mergeCell ref="E33:G33"/>
    <mergeCell ref="E34:F34"/>
    <mergeCell ref="E35:F35"/>
    <mergeCell ref="E37:F37"/>
  </mergeCells>
  <printOptions/>
  <pageMargins left="0.25" right="0.25" top="0.75" bottom="0.75" header="0.3" footer="0.3"/>
  <pageSetup horizontalDpi="600" verticalDpi="600" orientation="landscape" paperSize="9" scale="53" r:id="rId2"/>
  <rowBreaks count="1" manualBreakCount="1">
    <brk id="31" min="2" max="7" man="1"/>
  </row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C1:J53"/>
  <sheetViews>
    <sheetView view="pageBreakPreview" zoomScale="73" zoomScaleSheetLayoutView="73" zoomScalePageLayoutView="0" workbookViewId="0" topLeftCell="D34">
      <selection activeCell="J46" sqref="J46"/>
    </sheetView>
  </sheetViews>
  <sheetFormatPr defaultColWidth="9.140625" defaultRowHeight="15"/>
  <cols>
    <col min="1" max="2" width="9.140625" style="37" customWidth="1"/>
    <col min="3" max="3" width="9.00390625" style="37" customWidth="1"/>
    <col min="4" max="5" width="37.8515625" style="37" customWidth="1"/>
    <col min="6" max="6" width="44.421875" style="37" customWidth="1"/>
    <col min="7" max="7" width="34.140625" style="37" customWidth="1"/>
    <col min="8" max="8" width="40.00390625" style="37" customWidth="1"/>
    <col min="9" max="9" width="22.8515625" style="37" bestFit="1" customWidth="1"/>
    <col min="10" max="10" width="17.28125" style="37" customWidth="1"/>
    <col min="11" max="16384" width="9.140625" style="37" customWidth="1"/>
  </cols>
  <sheetData>
    <row r="1" spans="4:7" s="35" customFormat="1" ht="28.5">
      <c r="D1" s="36" t="s">
        <v>24</v>
      </c>
      <c r="E1" s="36"/>
      <c r="F1" s="36"/>
      <c r="G1" s="36"/>
    </row>
    <row r="2" spans="4:7" s="35" customFormat="1" ht="28.5">
      <c r="D2" s="36" t="s">
        <v>25</v>
      </c>
      <c r="E2" s="36"/>
      <c r="F2" s="36"/>
      <c r="G2" s="36"/>
    </row>
    <row r="3" spans="4:8" ht="18.75">
      <c r="D3" s="38" t="s">
        <v>26</v>
      </c>
      <c r="E3" s="38"/>
      <c r="F3" s="38"/>
      <c r="G3" s="38"/>
      <c r="H3" s="39"/>
    </row>
    <row r="4" spans="4:8" ht="18.75">
      <c r="D4" s="38" t="s">
        <v>27</v>
      </c>
      <c r="E4" s="38"/>
      <c r="F4" s="38"/>
      <c r="G4" s="38"/>
      <c r="H4" s="39"/>
    </row>
    <row r="5" spans="4:8" ht="15">
      <c r="D5" s="39"/>
      <c r="E5" s="39"/>
      <c r="F5" s="39"/>
      <c r="G5" s="39"/>
      <c r="H5" s="39"/>
    </row>
    <row r="6" spans="4:7" s="40" customFormat="1" ht="26.25">
      <c r="D6" s="35" t="s">
        <v>28</v>
      </c>
      <c r="E6" s="35"/>
      <c r="F6" s="35"/>
      <c r="G6" s="35"/>
    </row>
    <row r="7" spans="4:7" s="40" customFormat="1" ht="26.25">
      <c r="D7" s="35" t="s">
        <v>59</v>
      </c>
      <c r="E7" s="35"/>
      <c r="F7" s="35"/>
      <c r="G7" s="35"/>
    </row>
    <row r="8" spans="4:7" s="40" customFormat="1" ht="26.25">
      <c r="D8" s="35" t="s">
        <v>125</v>
      </c>
      <c r="E8" s="35"/>
      <c r="F8" s="35"/>
      <c r="G8" s="35"/>
    </row>
    <row r="9" spans="4:8" ht="15">
      <c r="D9" s="39"/>
      <c r="E9" s="39"/>
      <c r="F9" s="39"/>
      <c r="G9" s="39"/>
      <c r="H9" s="39"/>
    </row>
    <row r="10" spans="3:8" ht="21">
      <c r="C10" s="40" t="s">
        <v>60</v>
      </c>
      <c r="D10" s="39"/>
      <c r="E10" s="39"/>
      <c r="F10" s="39"/>
      <c r="G10" s="39"/>
      <c r="H10" s="39"/>
    </row>
    <row r="11" s="40" customFormat="1" ht="34.5" customHeight="1">
      <c r="H11" s="53" t="s">
        <v>18</v>
      </c>
    </row>
    <row r="12" spans="3:8" s="42" customFormat="1" ht="40.5">
      <c r="C12" s="41" t="s">
        <v>11</v>
      </c>
      <c r="D12" s="41" t="s">
        <v>12</v>
      </c>
      <c r="E12" s="41" t="s">
        <v>114</v>
      </c>
      <c r="F12" s="41" t="s">
        <v>13</v>
      </c>
      <c r="G12" s="41" t="s">
        <v>14</v>
      </c>
      <c r="H12" s="41" t="s">
        <v>10</v>
      </c>
    </row>
    <row r="13" spans="3:8" s="40" customFormat="1" ht="21">
      <c r="C13" s="181" t="s">
        <v>15</v>
      </c>
      <c r="D13" s="182"/>
      <c r="E13" s="182"/>
      <c r="F13" s="182"/>
      <c r="G13" s="182"/>
      <c r="H13" s="183"/>
    </row>
    <row r="14" spans="3:8" s="40" customFormat="1" ht="21">
      <c r="C14" s="15">
        <v>1</v>
      </c>
      <c r="D14" s="15" t="s">
        <v>16</v>
      </c>
      <c r="E14" s="43">
        <v>992.13</v>
      </c>
      <c r="F14" s="43">
        <v>75056.11</v>
      </c>
      <c r="G14" s="43">
        <v>92527</v>
      </c>
      <c r="H14" s="43">
        <f>E14+F14-G14</f>
        <v>-16478.759999999995</v>
      </c>
    </row>
    <row r="15" spans="3:8" s="40" customFormat="1" ht="21">
      <c r="C15" s="15">
        <v>2</v>
      </c>
      <c r="D15" s="15" t="s">
        <v>17</v>
      </c>
      <c r="E15" s="43">
        <v>6808.18</v>
      </c>
      <c r="F15" s="43">
        <v>21667.54</v>
      </c>
      <c r="G15" s="43">
        <v>29169.06</v>
      </c>
      <c r="H15" s="43">
        <f>E15+F15-G15</f>
        <v>-693.3400000000001</v>
      </c>
    </row>
    <row r="16" spans="3:8" s="40" customFormat="1" ht="42">
      <c r="C16" s="15">
        <v>3</v>
      </c>
      <c r="D16" s="67" t="s">
        <v>87</v>
      </c>
      <c r="E16" s="43">
        <v>1833.56</v>
      </c>
      <c r="F16" s="43"/>
      <c r="G16" s="43">
        <v>1126.03</v>
      </c>
      <c r="H16" s="43">
        <f>E16+F16-G16</f>
        <v>707.53</v>
      </c>
    </row>
    <row r="17" spans="3:8" s="40" customFormat="1" ht="41.25">
      <c r="C17" s="15"/>
      <c r="D17" s="44" t="s">
        <v>0</v>
      </c>
      <c r="E17" s="45">
        <f>SUM(E14:E16)</f>
        <v>9633.87</v>
      </c>
      <c r="F17" s="45">
        <f>SUM(F14:F16)</f>
        <v>96723.65</v>
      </c>
      <c r="G17" s="45">
        <f>SUM(G14:G16)</f>
        <v>122822.09</v>
      </c>
      <c r="H17" s="45">
        <f>SUM(H14:H16)</f>
        <v>-16464.569999999996</v>
      </c>
    </row>
    <row r="18" spans="3:8" s="40" customFormat="1" ht="21">
      <c r="C18" s="181" t="s">
        <v>19</v>
      </c>
      <c r="D18" s="182"/>
      <c r="E18" s="182"/>
      <c r="F18" s="182"/>
      <c r="G18" s="182"/>
      <c r="H18" s="183"/>
    </row>
    <row r="19" spans="3:8" s="40" customFormat="1" ht="21">
      <c r="C19" s="15">
        <v>4</v>
      </c>
      <c r="D19" s="15" t="s">
        <v>1</v>
      </c>
      <c r="E19" s="43">
        <v>105502.78</v>
      </c>
      <c r="F19" s="47">
        <v>331548.4</v>
      </c>
      <c r="G19" s="47">
        <v>24173.74</v>
      </c>
      <c r="H19" s="47">
        <f>E19+F19-G19</f>
        <v>412877.44000000006</v>
      </c>
    </row>
    <row r="20" spans="3:8" s="40" customFormat="1" ht="21">
      <c r="C20" s="15">
        <v>5</v>
      </c>
      <c r="D20" s="48" t="s">
        <v>2</v>
      </c>
      <c r="E20" s="49">
        <v>16529.93</v>
      </c>
      <c r="F20" s="47">
        <v>38914.4</v>
      </c>
      <c r="G20" s="47">
        <v>65377.66</v>
      </c>
      <c r="H20" s="47">
        <f>E20+F20-G20</f>
        <v>-9933.330000000002</v>
      </c>
    </row>
    <row r="21" spans="3:8" s="40" customFormat="1" ht="21" hidden="1">
      <c r="C21" s="15">
        <v>5</v>
      </c>
      <c r="D21" s="48" t="s">
        <v>7</v>
      </c>
      <c r="E21" s="49"/>
      <c r="F21" s="47"/>
      <c r="G21" s="47"/>
      <c r="H21" s="47">
        <f>E21+F21-G21</f>
        <v>0</v>
      </c>
    </row>
    <row r="22" spans="3:8" s="40" customFormat="1" ht="21">
      <c r="C22" s="15">
        <v>6</v>
      </c>
      <c r="D22" s="48" t="s">
        <v>3</v>
      </c>
      <c r="E22" s="49">
        <v>9781.35</v>
      </c>
      <c r="F22" s="47">
        <v>23433.25</v>
      </c>
      <c r="G22" s="47">
        <v>40708.88</v>
      </c>
      <c r="H22" s="47">
        <f>E22+F22-G22</f>
        <v>-7494.279999999999</v>
      </c>
    </row>
    <row r="23" spans="3:8" s="40" customFormat="1" ht="41.25" hidden="1">
      <c r="C23" s="15">
        <v>7</v>
      </c>
      <c r="D23" s="48" t="s">
        <v>4</v>
      </c>
      <c r="E23" s="49"/>
      <c r="F23" s="47"/>
      <c r="G23" s="47"/>
      <c r="H23" s="47">
        <f>E23+F23-G23</f>
        <v>0</v>
      </c>
    </row>
    <row r="24" spans="3:8" s="40" customFormat="1" ht="41.25">
      <c r="C24" s="15"/>
      <c r="D24" s="44" t="s">
        <v>5</v>
      </c>
      <c r="E24" s="45">
        <f>SUM(E19:E23)</f>
        <v>131814.06</v>
      </c>
      <c r="F24" s="45">
        <f>SUM(F19:F23)</f>
        <v>393896.05000000005</v>
      </c>
      <c r="G24" s="45">
        <f>SUM(G19:G23)</f>
        <v>130260.28</v>
      </c>
      <c r="H24" s="45">
        <f>SUM(H19:H23)</f>
        <v>395449.8300000001</v>
      </c>
    </row>
    <row r="25" spans="3:8" s="40" customFormat="1" ht="41.25">
      <c r="C25" s="15"/>
      <c r="D25" s="44" t="s">
        <v>6</v>
      </c>
      <c r="E25" s="45">
        <f>E17+E24</f>
        <v>141447.93</v>
      </c>
      <c r="F25" s="45">
        <f>F17+F24</f>
        <v>490619.70000000007</v>
      </c>
      <c r="G25" s="45">
        <f>G17+G24</f>
        <v>253082.37</v>
      </c>
      <c r="H25" s="45">
        <f>H17+H24</f>
        <v>378985.26000000007</v>
      </c>
    </row>
    <row r="26" spans="3:9" s="40" customFormat="1" ht="21">
      <c r="C26" s="50"/>
      <c r="D26" s="51"/>
      <c r="E26" s="51"/>
      <c r="F26" s="52"/>
      <c r="G26" s="52"/>
      <c r="H26" s="52"/>
      <c r="I26" s="69"/>
    </row>
    <row r="27" spans="3:8" s="40" customFormat="1" ht="21">
      <c r="C27" s="50"/>
      <c r="D27" s="51"/>
      <c r="E27" s="51"/>
      <c r="F27" s="52"/>
      <c r="G27" s="52"/>
      <c r="H27" s="52"/>
    </row>
    <row r="28" spans="7:8" s="40" customFormat="1" ht="21">
      <c r="G28" s="53"/>
      <c r="H28" s="53" t="s">
        <v>20</v>
      </c>
    </row>
    <row r="29" spans="3:8" s="40" customFormat="1" ht="25.5">
      <c r="C29" s="170" t="s">
        <v>120</v>
      </c>
      <c r="D29" s="171"/>
      <c r="E29" s="171"/>
      <c r="F29" s="171"/>
      <c r="G29" s="171"/>
      <c r="H29" s="172"/>
    </row>
    <row r="30" spans="3:8" s="40" customFormat="1" ht="42">
      <c r="C30" s="184" t="s">
        <v>121</v>
      </c>
      <c r="D30" s="185"/>
      <c r="E30" s="185"/>
      <c r="F30" s="186"/>
      <c r="G30" s="41" t="s">
        <v>21</v>
      </c>
      <c r="H30" s="54" t="s">
        <v>126</v>
      </c>
    </row>
    <row r="31" spans="3:8" s="40" customFormat="1" ht="198" customHeight="1">
      <c r="C31" s="201" t="s">
        <v>123</v>
      </c>
      <c r="D31" s="202"/>
      <c r="E31" s="202"/>
      <c r="F31" s="203"/>
      <c r="G31" s="57">
        <f>F14</f>
        <v>75056.11</v>
      </c>
      <c r="H31" s="57">
        <f>H14</f>
        <v>-16478.759999999995</v>
      </c>
    </row>
    <row r="32" spans="3:8" s="40" customFormat="1" ht="25.5">
      <c r="C32" s="170" t="s">
        <v>119</v>
      </c>
      <c r="D32" s="171"/>
      <c r="E32" s="171"/>
      <c r="F32" s="171"/>
      <c r="G32" s="171"/>
      <c r="H32" s="172"/>
    </row>
    <row r="33" spans="3:8" s="40" customFormat="1" ht="63">
      <c r="C33" s="196" t="s">
        <v>132</v>
      </c>
      <c r="D33" s="197"/>
      <c r="E33" s="178" t="s">
        <v>121</v>
      </c>
      <c r="F33" s="179"/>
      <c r="G33" s="180"/>
      <c r="H33" s="89" t="s">
        <v>128</v>
      </c>
    </row>
    <row r="34" spans="3:8" s="40" customFormat="1" ht="21">
      <c r="C34" s="103"/>
      <c r="D34" s="104">
        <v>24713.06</v>
      </c>
      <c r="E34" s="234" t="s">
        <v>176</v>
      </c>
      <c r="F34" s="192"/>
      <c r="G34" s="49">
        <v>559</v>
      </c>
      <c r="H34" s="43"/>
    </row>
    <row r="35" spans="3:8" s="40" customFormat="1" ht="21">
      <c r="C35" s="98"/>
      <c r="D35" s="105"/>
      <c r="E35" s="237"/>
      <c r="F35" s="238"/>
      <c r="G35" s="49"/>
      <c r="H35" s="43"/>
    </row>
    <row r="36" spans="3:8" s="40" customFormat="1" ht="21">
      <c r="C36" s="98"/>
      <c r="D36" s="106"/>
      <c r="E36" s="213" t="s">
        <v>140</v>
      </c>
      <c r="F36" s="160"/>
      <c r="G36" s="68">
        <f>SUM(G34:G35)</f>
        <v>559</v>
      </c>
      <c r="H36" s="76">
        <f>G15-G36</f>
        <v>28610.06</v>
      </c>
    </row>
    <row r="37" spans="3:8" s="40" customFormat="1" ht="21">
      <c r="C37" s="99"/>
      <c r="D37" s="107"/>
      <c r="E37" s="213" t="s">
        <v>141</v>
      </c>
      <c r="F37" s="160"/>
      <c r="G37" s="68"/>
      <c r="H37" s="76">
        <f>H36+D34</f>
        <v>53323.12</v>
      </c>
    </row>
    <row r="38" spans="3:8" s="40" customFormat="1" ht="21">
      <c r="C38" s="96">
        <v>3</v>
      </c>
      <c r="D38" s="94" t="s">
        <v>22</v>
      </c>
      <c r="E38" s="211"/>
      <c r="F38" s="212"/>
      <c r="G38" s="58"/>
      <c r="H38" s="15"/>
    </row>
    <row r="39" spans="3:8" s="40" customFormat="1" ht="21">
      <c r="C39" s="193"/>
      <c r="D39" s="194"/>
      <c r="E39" s="207"/>
      <c r="F39" s="207"/>
      <c r="G39" s="58"/>
      <c r="H39" s="15"/>
    </row>
    <row r="40" spans="3:8" s="40" customFormat="1" ht="21">
      <c r="C40" s="194"/>
      <c r="D40" s="194"/>
      <c r="E40" s="204"/>
      <c r="F40" s="204"/>
      <c r="G40" s="58"/>
      <c r="H40" s="15"/>
    </row>
    <row r="41" spans="3:8" s="40" customFormat="1" ht="21">
      <c r="C41" s="194"/>
      <c r="D41" s="194"/>
      <c r="E41" s="204"/>
      <c r="F41" s="204"/>
      <c r="G41" s="58"/>
      <c r="H41" s="15"/>
    </row>
    <row r="42" spans="3:8" s="40" customFormat="1" ht="21">
      <c r="C42" s="194"/>
      <c r="D42" s="194"/>
      <c r="E42" s="204"/>
      <c r="F42" s="204"/>
      <c r="G42" s="58"/>
      <c r="H42" s="15"/>
    </row>
    <row r="43" spans="3:9" s="64" customFormat="1" ht="21">
      <c r="C43" s="120"/>
      <c r="D43" s="120"/>
      <c r="E43" s="120"/>
      <c r="F43" s="121"/>
      <c r="G43" s="95"/>
      <c r="H43" s="122"/>
      <c r="I43" s="53" t="s">
        <v>47</v>
      </c>
    </row>
    <row r="44" spans="3:10" ht="60.75">
      <c r="C44" s="41" t="s">
        <v>11</v>
      </c>
      <c r="D44" s="41" t="s">
        <v>50</v>
      </c>
      <c r="E44" s="41" t="s">
        <v>166</v>
      </c>
      <c r="F44" s="41" t="s">
        <v>114</v>
      </c>
      <c r="G44" s="41" t="s">
        <v>167</v>
      </c>
      <c r="H44" s="41" t="s">
        <v>130</v>
      </c>
      <c r="I44" s="41" t="s">
        <v>168</v>
      </c>
      <c r="J44" s="41" t="s">
        <v>115</v>
      </c>
    </row>
    <row r="45" spans="3:10" ht="21">
      <c r="C45" s="15">
        <v>1</v>
      </c>
      <c r="D45" s="15" t="s">
        <v>91</v>
      </c>
      <c r="E45" s="43">
        <v>44751.78</v>
      </c>
      <c r="F45" s="43">
        <v>10768.54</v>
      </c>
      <c r="G45" s="43">
        <v>51144.48</v>
      </c>
      <c r="H45" s="65">
        <v>151941.09</v>
      </c>
      <c r="I45" s="43">
        <f>F45+G45-H45</f>
        <v>-90028.06999999999</v>
      </c>
      <c r="J45" s="146">
        <f>E45-G45</f>
        <v>-6392.700000000004</v>
      </c>
    </row>
    <row r="47" spans="4:5" ht="26.25">
      <c r="D47" s="35" t="s">
        <v>106</v>
      </c>
      <c r="E47" s="35"/>
    </row>
    <row r="48" spans="4:5" ht="26.25">
      <c r="D48" s="35" t="s">
        <v>107</v>
      </c>
      <c r="E48" s="35"/>
    </row>
    <row r="50" ht="15">
      <c r="G50" s="129">
        <f>G25+G45</f>
        <v>304226.85</v>
      </c>
    </row>
    <row r="51" ht="15">
      <c r="G51" s="37">
        <v>75358.35</v>
      </c>
    </row>
    <row r="52" ht="15">
      <c r="G52" s="37">
        <v>5000</v>
      </c>
    </row>
    <row r="53" ht="15">
      <c r="G53" s="129">
        <f>SUM(G50:G52)</f>
        <v>384585.19999999995</v>
      </c>
    </row>
  </sheetData>
  <sheetProtection/>
  <mergeCells count="19">
    <mergeCell ref="E42:F42"/>
    <mergeCell ref="E38:F38"/>
    <mergeCell ref="E39:F39"/>
    <mergeCell ref="E40:F40"/>
    <mergeCell ref="E41:F41"/>
    <mergeCell ref="C13:H13"/>
    <mergeCell ref="C18:H18"/>
    <mergeCell ref="C39:C42"/>
    <mergeCell ref="D39:D42"/>
    <mergeCell ref="E36:F36"/>
    <mergeCell ref="C29:H29"/>
    <mergeCell ref="C30:F30"/>
    <mergeCell ref="C31:F31"/>
    <mergeCell ref="C32:H32"/>
    <mergeCell ref="C33:D33"/>
    <mergeCell ref="E33:G33"/>
    <mergeCell ref="E34:F34"/>
    <mergeCell ref="E35:F35"/>
    <mergeCell ref="E37:F37"/>
  </mergeCells>
  <printOptions/>
  <pageMargins left="0.25" right="0.25" top="0.75" bottom="0.75" header="0.3" footer="0.3"/>
  <pageSetup horizontalDpi="600" verticalDpi="600" orientation="landscape" paperSize="9" scale="56" r:id="rId2"/>
  <rowBreaks count="1" manualBreakCount="1">
    <brk id="27" min="2" max="9" man="1"/>
  </row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C1:H49"/>
  <sheetViews>
    <sheetView view="pageBreakPreview" zoomScale="73" zoomScaleSheetLayoutView="73" zoomScalePageLayoutView="0" workbookViewId="0" topLeftCell="A14">
      <selection activeCell="G35" sqref="G35"/>
    </sheetView>
  </sheetViews>
  <sheetFormatPr defaultColWidth="9.140625" defaultRowHeight="15"/>
  <cols>
    <col min="3" max="3" width="9.00390625" style="0" customWidth="1"/>
    <col min="4" max="4" width="45.28125" style="0" customWidth="1"/>
    <col min="5" max="5" width="37.8515625" style="0" customWidth="1"/>
    <col min="6" max="6" width="44.421875" style="0" customWidth="1"/>
    <col min="7" max="7" width="34.140625" style="0" customWidth="1"/>
    <col min="8" max="8" width="31.57421875" style="0" customWidth="1"/>
  </cols>
  <sheetData>
    <row r="1" spans="4:7" s="1" customFormat="1" ht="28.5">
      <c r="D1" s="20" t="s">
        <v>24</v>
      </c>
      <c r="E1" s="20"/>
      <c r="F1" s="20"/>
      <c r="G1" s="20"/>
    </row>
    <row r="2" spans="4:7" s="1" customFormat="1" ht="28.5">
      <c r="D2" s="20" t="s">
        <v>25</v>
      </c>
      <c r="E2" s="20"/>
      <c r="F2" s="20"/>
      <c r="G2" s="20"/>
    </row>
    <row r="3" spans="4:8" ht="18.75">
      <c r="D3" s="2" t="s">
        <v>26</v>
      </c>
      <c r="E3" s="2"/>
      <c r="F3" s="2"/>
      <c r="G3" s="2"/>
      <c r="H3" s="7"/>
    </row>
    <row r="4" spans="4:8" ht="18.75">
      <c r="D4" s="2" t="s">
        <v>27</v>
      </c>
      <c r="E4" s="2"/>
      <c r="F4" s="2"/>
      <c r="G4" s="2"/>
      <c r="H4" s="7"/>
    </row>
    <row r="5" spans="4:8" ht="15">
      <c r="D5" s="7"/>
      <c r="E5" s="7"/>
      <c r="F5" s="7"/>
      <c r="G5" s="7"/>
      <c r="H5" s="7"/>
    </row>
    <row r="6" spans="4:7" s="3" customFormat="1" ht="26.25">
      <c r="D6" s="1" t="s">
        <v>28</v>
      </c>
      <c r="E6" s="1"/>
      <c r="F6" s="1"/>
      <c r="G6" s="1"/>
    </row>
    <row r="7" spans="4:7" s="3" customFormat="1" ht="26.25">
      <c r="D7" s="1" t="s">
        <v>57</v>
      </c>
      <c r="E7" s="1"/>
      <c r="F7" s="1"/>
      <c r="G7" s="1"/>
    </row>
    <row r="8" spans="4:7" s="3" customFormat="1" ht="26.25">
      <c r="D8" s="1" t="s">
        <v>125</v>
      </c>
      <c r="E8" s="1"/>
      <c r="F8" s="1"/>
      <c r="G8" s="1"/>
    </row>
    <row r="9" spans="4:8" ht="15">
      <c r="D9" s="7"/>
      <c r="E9" s="7"/>
      <c r="F9" s="7"/>
      <c r="G9" s="7"/>
      <c r="H9" s="7"/>
    </row>
    <row r="10" spans="3:8" ht="21">
      <c r="C10" s="3" t="s">
        <v>58</v>
      </c>
      <c r="D10" s="7"/>
      <c r="E10" s="7"/>
      <c r="F10" s="7"/>
      <c r="G10" s="7"/>
      <c r="H10" s="7"/>
    </row>
    <row r="11" s="3" customFormat="1" ht="34.5" customHeight="1">
      <c r="H11" s="8" t="s">
        <v>18</v>
      </c>
    </row>
    <row r="12" spans="3:8" s="10" customFormat="1" ht="40.5">
      <c r="C12" s="9" t="s">
        <v>11</v>
      </c>
      <c r="D12" s="9" t="s">
        <v>12</v>
      </c>
      <c r="E12" s="9" t="s">
        <v>114</v>
      </c>
      <c r="F12" s="9" t="s">
        <v>13</v>
      </c>
      <c r="G12" s="9" t="s">
        <v>14</v>
      </c>
      <c r="H12" s="9" t="s">
        <v>10</v>
      </c>
    </row>
    <row r="13" spans="3:8" s="3" customFormat="1" ht="21">
      <c r="C13" s="222" t="s">
        <v>15</v>
      </c>
      <c r="D13" s="223"/>
      <c r="E13" s="223"/>
      <c r="F13" s="223"/>
      <c r="G13" s="223"/>
      <c r="H13" s="224"/>
    </row>
    <row r="14" spans="3:8" s="3" customFormat="1" ht="21">
      <c r="C14" s="11">
        <v>1</v>
      </c>
      <c r="D14" s="11" t="s">
        <v>16</v>
      </c>
      <c r="E14" s="24">
        <v>24731.32</v>
      </c>
      <c r="F14" s="24">
        <v>130018.85</v>
      </c>
      <c r="G14" s="24">
        <v>95639.07</v>
      </c>
      <c r="H14" s="24">
        <f>E14+F14-G14</f>
        <v>59111.100000000006</v>
      </c>
    </row>
    <row r="15" spans="3:8" s="3" customFormat="1" ht="21">
      <c r="C15" s="11">
        <v>2</v>
      </c>
      <c r="D15" s="11" t="s">
        <v>17</v>
      </c>
      <c r="E15" s="24">
        <v>-6158.39</v>
      </c>
      <c r="F15" s="24">
        <v>23805.52</v>
      </c>
      <c r="G15" s="24">
        <v>25749.27</v>
      </c>
      <c r="H15" s="24">
        <f>E15+F15-G15</f>
        <v>-8102.139999999999</v>
      </c>
    </row>
    <row r="16" spans="3:8" s="3" customFormat="1" ht="21" hidden="1">
      <c r="C16" s="11"/>
      <c r="D16" s="11" t="s">
        <v>116</v>
      </c>
      <c r="E16" s="24"/>
      <c r="F16" s="24"/>
      <c r="G16" s="24"/>
      <c r="H16" s="24">
        <f>E16+F16-G16</f>
        <v>0</v>
      </c>
    </row>
    <row r="17" spans="3:8" s="3" customFormat="1" ht="33" customHeight="1">
      <c r="C17" s="11"/>
      <c r="D17" s="4" t="s">
        <v>0</v>
      </c>
      <c r="E17" s="25">
        <f>SUM(E14:E15)</f>
        <v>18572.93</v>
      </c>
      <c r="F17" s="25">
        <f>SUM(F14:F16)</f>
        <v>153824.37</v>
      </c>
      <c r="G17" s="25">
        <f>SUM(G14:G16)</f>
        <v>121388.34000000001</v>
      </c>
      <c r="H17" s="25">
        <f>SUM(H14:H16)</f>
        <v>51008.96000000001</v>
      </c>
    </row>
    <row r="18" spans="3:8" s="3" customFormat="1" ht="21">
      <c r="C18" s="222" t="s">
        <v>19</v>
      </c>
      <c r="D18" s="223"/>
      <c r="E18" s="223"/>
      <c r="F18" s="223"/>
      <c r="G18" s="223"/>
      <c r="H18" s="224"/>
    </row>
    <row r="19" spans="3:8" s="3" customFormat="1" ht="21">
      <c r="C19" s="11">
        <v>3</v>
      </c>
      <c r="D19" s="11" t="s">
        <v>1</v>
      </c>
      <c r="E19" s="24">
        <v>108543.83</v>
      </c>
      <c r="F19" s="27">
        <v>368302.98</v>
      </c>
      <c r="G19" s="27">
        <v>275847.07</v>
      </c>
      <c r="H19" s="27">
        <f>E19+F19-G19</f>
        <v>200999.74</v>
      </c>
    </row>
    <row r="20" spans="3:8" s="3" customFormat="1" ht="21">
      <c r="C20" s="11">
        <v>4</v>
      </c>
      <c r="D20" s="14" t="s">
        <v>2</v>
      </c>
      <c r="E20" s="28">
        <v>17326.16</v>
      </c>
      <c r="F20" s="27">
        <v>60110.22</v>
      </c>
      <c r="G20" s="27">
        <v>54778.11</v>
      </c>
      <c r="H20" s="27">
        <f>E20+F20-G20</f>
        <v>22658.270000000004</v>
      </c>
    </row>
    <row r="21" spans="3:8" s="3" customFormat="1" ht="21" hidden="1">
      <c r="C21" s="15">
        <v>5</v>
      </c>
      <c r="D21" s="14" t="s">
        <v>7</v>
      </c>
      <c r="E21" s="28"/>
      <c r="F21" s="27"/>
      <c r="G21" s="27"/>
      <c r="H21" s="27">
        <f>E21+F21-G21</f>
        <v>0</v>
      </c>
    </row>
    <row r="22" spans="3:8" s="3" customFormat="1" ht="21">
      <c r="C22" s="15">
        <v>5</v>
      </c>
      <c r="D22" s="14" t="s">
        <v>3</v>
      </c>
      <c r="E22" s="28">
        <v>10745.18</v>
      </c>
      <c r="F22" s="27">
        <v>36151.09</v>
      </c>
      <c r="G22" s="27">
        <v>33340.77</v>
      </c>
      <c r="H22" s="27">
        <f>E22+F22-G22</f>
        <v>13555.5</v>
      </c>
    </row>
    <row r="23" spans="3:8" s="3" customFormat="1" ht="21" hidden="1">
      <c r="C23" s="15">
        <v>7</v>
      </c>
      <c r="D23" s="14" t="s">
        <v>4</v>
      </c>
      <c r="E23" s="28"/>
      <c r="F23" s="27"/>
      <c r="G23" s="27"/>
      <c r="H23" s="27">
        <f>F23-G23</f>
        <v>0</v>
      </c>
    </row>
    <row r="24" spans="3:8" s="3" customFormat="1" ht="41.25">
      <c r="C24" s="11"/>
      <c r="D24" s="4" t="s">
        <v>5</v>
      </c>
      <c r="E24" s="25">
        <f>SUM(E19:E23)</f>
        <v>136615.17</v>
      </c>
      <c r="F24" s="25">
        <f>SUM(F19:F23)</f>
        <v>464564.2899999999</v>
      </c>
      <c r="G24" s="25">
        <f>SUM(G19:G23)</f>
        <v>363965.95</v>
      </c>
      <c r="H24" s="25">
        <f>SUM(H19:H23)</f>
        <v>237213.51</v>
      </c>
    </row>
    <row r="25" spans="3:8" s="3" customFormat="1" ht="41.25">
      <c r="C25" s="11"/>
      <c r="D25" s="4" t="s">
        <v>6</v>
      </c>
      <c r="E25" s="25">
        <f>E17+E24</f>
        <v>155188.1</v>
      </c>
      <c r="F25" s="25">
        <f>F17+F24</f>
        <v>618388.6599999999</v>
      </c>
      <c r="G25" s="25">
        <f>G17+G24</f>
        <v>485354.29000000004</v>
      </c>
      <c r="H25" s="25">
        <f>H17+H24</f>
        <v>288222.47000000003</v>
      </c>
    </row>
    <row r="26" spans="3:8" s="3" customFormat="1" ht="21">
      <c r="C26" s="16"/>
      <c r="D26" s="17"/>
      <c r="E26" s="17"/>
      <c r="F26" s="18"/>
      <c r="G26" s="18"/>
      <c r="H26" s="18"/>
    </row>
    <row r="27" spans="3:8" s="3" customFormat="1" ht="21">
      <c r="C27" s="16"/>
      <c r="D27" s="17"/>
      <c r="E27" s="17"/>
      <c r="F27" s="18"/>
      <c r="G27" s="18"/>
      <c r="H27" s="18"/>
    </row>
    <row r="28" spans="7:8" s="3" customFormat="1" ht="21">
      <c r="G28" s="8"/>
      <c r="H28" s="8" t="s">
        <v>20</v>
      </c>
    </row>
    <row r="29" spans="3:8" s="3" customFormat="1" ht="25.5">
      <c r="C29" s="170" t="s">
        <v>120</v>
      </c>
      <c r="D29" s="171"/>
      <c r="E29" s="171"/>
      <c r="F29" s="171"/>
      <c r="G29" s="171"/>
      <c r="H29" s="172"/>
    </row>
    <row r="30" spans="3:8" s="3" customFormat="1" ht="42">
      <c r="C30" s="184" t="s">
        <v>121</v>
      </c>
      <c r="D30" s="185"/>
      <c r="E30" s="185"/>
      <c r="F30" s="186"/>
      <c r="G30" s="41" t="s">
        <v>21</v>
      </c>
      <c r="H30" s="54" t="s">
        <v>126</v>
      </c>
    </row>
    <row r="31" spans="3:8" s="3" customFormat="1" ht="175.5" customHeight="1">
      <c r="C31" s="201" t="s">
        <v>123</v>
      </c>
      <c r="D31" s="202"/>
      <c r="E31" s="202"/>
      <c r="F31" s="203"/>
      <c r="G31" s="57">
        <f>F14</f>
        <v>130018.85</v>
      </c>
      <c r="H31" s="57">
        <f>H14</f>
        <v>59111.100000000006</v>
      </c>
    </row>
    <row r="32" spans="3:8" s="3" customFormat="1" ht="25.5">
      <c r="C32" s="170" t="s">
        <v>119</v>
      </c>
      <c r="D32" s="171"/>
      <c r="E32" s="171"/>
      <c r="F32" s="171"/>
      <c r="G32" s="171"/>
      <c r="H32" s="172"/>
    </row>
    <row r="33" spans="3:8" s="3" customFormat="1" ht="63">
      <c r="C33" s="196" t="s">
        <v>132</v>
      </c>
      <c r="D33" s="197"/>
      <c r="E33" s="178" t="s">
        <v>121</v>
      </c>
      <c r="F33" s="179"/>
      <c r="G33" s="180"/>
      <c r="H33" s="89" t="s">
        <v>128</v>
      </c>
    </row>
    <row r="34" spans="3:8" s="3" customFormat="1" ht="21">
      <c r="C34" s="118"/>
      <c r="D34" s="113">
        <v>16584.43</v>
      </c>
      <c r="E34" s="218" t="s">
        <v>177</v>
      </c>
      <c r="F34" s="219"/>
      <c r="G34" s="28">
        <v>2799</v>
      </c>
      <c r="H34" s="24"/>
    </row>
    <row r="35" spans="3:8" s="3" customFormat="1" ht="21">
      <c r="C35" s="111"/>
      <c r="D35" s="114"/>
      <c r="E35" s="218"/>
      <c r="F35" s="219"/>
      <c r="G35" s="28"/>
      <c r="H35" s="24"/>
    </row>
    <row r="36" spans="3:8" s="3" customFormat="1" ht="21">
      <c r="C36" s="111"/>
      <c r="D36" s="114"/>
      <c r="E36" s="241"/>
      <c r="F36" s="242"/>
      <c r="G36" s="28"/>
      <c r="H36" s="24"/>
    </row>
    <row r="37" spans="3:8" s="3" customFormat="1" ht="21">
      <c r="C37" s="111"/>
      <c r="D37" s="115"/>
      <c r="E37" s="216" t="s">
        <v>140</v>
      </c>
      <c r="F37" s="217"/>
      <c r="G37" s="29">
        <f>SUM(G34:G36)</f>
        <v>2799</v>
      </c>
      <c r="H37" s="30">
        <f>G15-G37</f>
        <v>22950.27</v>
      </c>
    </row>
    <row r="38" spans="3:8" s="3" customFormat="1" ht="21">
      <c r="C38" s="112"/>
      <c r="D38" s="116"/>
      <c r="E38" s="243" t="s">
        <v>141</v>
      </c>
      <c r="F38" s="217"/>
      <c r="G38" s="29"/>
      <c r="H38" s="30">
        <f>H37+D34</f>
        <v>39534.7</v>
      </c>
    </row>
    <row r="39" spans="3:8" s="3" customFormat="1" ht="21">
      <c r="C39" s="117">
        <v>3</v>
      </c>
      <c r="D39" s="108" t="s">
        <v>22</v>
      </c>
      <c r="E39" s="244"/>
      <c r="F39" s="245"/>
      <c r="G39" s="19"/>
      <c r="H39" s="11"/>
    </row>
    <row r="40" spans="3:8" s="3" customFormat="1" ht="21">
      <c r="C40" s="239"/>
      <c r="D40" s="240"/>
      <c r="E40" s="230"/>
      <c r="F40" s="230"/>
      <c r="G40" s="19"/>
      <c r="H40" s="11"/>
    </row>
    <row r="41" spans="3:8" s="3" customFormat="1" ht="21">
      <c r="C41" s="240"/>
      <c r="D41" s="240"/>
      <c r="E41" s="246"/>
      <c r="F41" s="246"/>
      <c r="G41" s="19"/>
      <c r="H41" s="11"/>
    </row>
    <row r="42" s="6" customFormat="1" ht="21">
      <c r="C42" s="3"/>
    </row>
    <row r="43" spans="4:7" s="5" customFormat="1" ht="26.25">
      <c r="D43" s="1" t="s">
        <v>106</v>
      </c>
      <c r="E43" s="1"/>
      <c r="F43"/>
      <c r="G43"/>
    </row>
    <row r="44" spans="4:5" ht="26.25">
      <c r="D44" s="1" t="s">
        <v>107</v>
      </c>
      <c r="E44" s="1"/>
    </row>
    <row r="46" ht="15">
      <c r="G46" s="23">
        <f>G25</f>
        <v>485354.29000000004</v>
      </c>
    </row>
    <row r="47" ht="15">
      <c r="G47">
        <v>88296.19</v>
      </c>
    </row>
    <row r="48" ht="15">
      <c r="G48">
        <v>57157.2</v>
      </c>
    </row>
    <row r="49" ht="15">
      <c r="G49" s="23">
        <f>SUM(G46:G48)</f>
        <v>630807.6799999999</v>
      </c>
    </row>
  </sheetData>
  <sheetProtection/>
  <mergeCells count="18">
    <mergeCell ref="E38:F38"/>
    <mergeCell ref="E39:F39"/>
    <mergeCell ref="E40:F40"/>
    <mergeCell ref="E41:F41"/>
    <mergeCell ref="C13:H13"/>
    <mergeCell ref="C18:H18"/>
    <mergeCell ref="C40:C41"/>
    <mergeCell ref="D40:D41"/>
    <mergeCell ref="E36:F36"/>
    <mergeCell ref="C29:H29"/>
    <mergeCell ref="C30:F30"/>
    <mergeCell ref="C31:F31"/>
    <mergeCell ref="C32:H32"/>
    <mergeCell ref="C33:D33"/>
    <mergeCell ref="E33:G33"/>
    <mergeCell ref="E34:F34"/>
    <mergeCell ref="E35:F35"/>
    <mergeCell ref="E37:F37"/>
  </mergeCells>
  <printOptions/>
  <pageMargins left="0.25" right="0.25" top="0.75" bottom="0.75" header="0.3" footer="0.3"/>
  <pageSetup horizontalDpi="600" verticalDpi="600" orientation="landscape" paperSize="9" scale="70" r:id="rId2"/>
  <rowBreaks count="1" manualBreakCount="1">
    <brk id="27" min="2" max="7" man="1"/>
  </row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C1:H46"/>
  <sheetViews>
    <sheetView view="pageBreakPreview" zoomScale="73" zoomScaleSheetLayoutView="73" zoomScalePageLayoutView="0" workbookViewId="0" topLeftCell="A26">
      <selection activeCell="H36" sqref="H36"/>
    </sheetView>
  </sheetViews>
  <sheetFormatPr defaultColWidth="9.140625" defaultRowHeight="15"/>
  <cols>
    <col min="3" max="3" width="9.00390625" style="0" customWidth="1"/>
    <col min="4" max="5" width="37.8515625" style="0" customWidth="1"/>
    <col min="6" max="6" width="48.57421875" style="0" customWidth="1"/>
    <col min="7" max="7" width="34.140625" style="0" customWidth="1"/>
    <col min="8" max="8" width="32.57421875" style="0" customWidth="1"/>
  </cols>
  <sheetData>
    <row r="1" spans="4:7" s="1" customFormat="1" ht="28.5">
      <c r="D1" s="20" t="s">
        <v>24</v>
      </c>
      <c r="E1" s="20"/>
      <c r="F1" s="20"/>
      <c r="G1" s="20"/>
    </row>
    <row r="2" spans="4:7" s="1" customFormat="1" ht="28.5">
      <c r="D2" s="20" t="s">
        <v>25</v>
      </c>
      <c r="E2" s="20"/>
      <c r="F2" s="20"/>
      <c r="G2" s="20"/>
    </row>
    <row r="3" spans="4:8" ht="18.75">
      <c r="D3" s="2" t="s">
        <v>26</v>
      </c>
      <c r="E3" s="2"/>
      <c r="F3" s="2"/>
      <c r="G3" s="2"/>
      <c r="H3" s="7"/>
    </row>
    <row r="4" spans="4:8" ht="18.75">
      <c r="D4" s="2" t="s">
        <v>27</v>
      </c>
      <c r="E4" s="2"/>
      <c r="F4" s="2"/>
      <c r="G4" s="2"/>
      <c r="H4" s="7"/>
    </row>
    <row r="5" spans="4:8" ht="15">
      <c r="D5" s="7"/>
      <c r="E5" s="7"/>
      <c r="F5" s="7"/>
      <c r="G5" s="7"/>
      <c r="H5" s="7"/>
    </row>
    <row r="6" spans="4:7" s="3" customFormat="1" ht="26.25">
      <c r="D6" s="1" t="s">
        <v>28</v>
      </c>
      <c r="E6" s="1"/>
      <c r="F6" s="1"/>
      <c r="G6" s="1"/>
    </row>
    <row r="7" spans="4:7" s="3" customFormat="1" ht="26.25">
      <c r="D7" s="1" t="s">
        <v>61</v>
      </c>
      <c r="E7" s="1"/>
      <c r="F7" s="1"/>
      <c r="G7" s="1"/>
    </row>
    <row r="8" spans="4:7" s="3" customFormat="1" ht="26.25">
      <c r="D8" s="1" t="s">
        <v>125</v>
      </c>
      <c r="E8" s="1"/>
      <c r="F8" s="1"/>
      <c r="G8" s="1"/>
    </row>
    <row r="9" spans="4:8" ht="15">
      <c r="D9" s="7"/>
      <c r="E9" s="7"/>
      <c r="F9" s="7"/>
      <c r="G9" s="7"/>
      <c r="H9" s="7"/>
    </row>
    <row r="10" spans="3:8" ht="21">
      <c r="C10" s="3" t="s">
        <v>62</v>
      </c>
      <c r="D10" s="7"/>
      <c r="E10" s="7"/>
      <c r="F10" s="7"/>
      <c r="G10" s="7"/>
      <c r="H10" s="7"/>
    </row>
    <row r="11" s="3" customFormat="1" ht="34.5" customHeight="1">
      <c r="H11" s="8" t="s">
        <v>18</v>
      </c>
    </row>
    <row r="12" spans="3:8" s="10" customFormat="1" ht="40.5">
      <c r="C12" s="9" t="s">
        <v>11</v>
      </c>
      <c r="D12" s="9" t="s">
        <v>12</v>
      </c>
      <c r="E12" s="9" t="s">
        <v>114</v>
      </c>
      <c r="F12" s="9" t="s">
        <v>13</v>
      </c>
      <c r="G12" s="9" t="s">
        <v>14</v>
      </c>
      <c r="H12" s="9" t="s">
        <v>10</v>
      </c>
    </row>
    <row r="13" spans="3:8" s="3" customFormat="1" ht="21">
      <c r="C13" s="31" t="s">
        <v>15</v>
      </c>
      <c r="D13" s="32"/>
      <c r="E13" s="32"/>
      <c r="F13" s="32"/>
      <c r="G13" s="32"/>
      <c r="H13" s="33"/>
    </row>
    <row r="14" spans="3:8" s="3" customFormat="1" ht="21">
      <c r="C14" s="11">
        <v>1</v>
      </c>
      <c r="D14" s="11" t="s">
        <v>16</v>
      </c>
      <c r="E14" s="24">
        <v>4872.8</v>
      </c>
      <c r="F14" s="24">
        <v>49554.51</v>
      </c>
      <c r="G14" s="24">
        <v>41699.9</v>
      </c>
      <c r="H14" s="24">
        <f>E14+F14-G14</f>
        <v>12727.410000000003</v>
      </c>
    </row>
    <row r="15" spans="3:8" s="3" customFormat="1" ht="21">
      <c r="C15" s="11">
        <v>2</v>
      </c>
      <c r="D15" s="11" t="s">
        <v>17</v>
      </c>
      <c r="E15" s="24"/>
      <c r="F15" s="24"/>
      <c r="G15" s="24"/>
      <c r="H15" s="24"/>
    </row>
    <row r="16" spans="3:8" s="3" customFormat="1" ht="41.25">
      <c r="C16" s="11"/>
      <c r="D16" s="4" t="s">
        <v>0</v>
      </c>
      <c r="E16" s="25">
        <f>SUM(E14:E15)</f>
        <v>4872.8</v>
      </c>
      <c r="F16" s="25">
        <f>SUM(F14:F15)</f>
        <v>49554.51</v>
      </c>
      <c r="G16" s="25">
        <f>SUM(G14:G15)</f>
        <v>41699.9</v>
      </c>
      <c r="H16" s="25">
        <f>SUM(H14:H15)</f>
        <v>12727.410000000003</v>
      </c>
    </row>
    <row r="17" spans="3:8" s="3" customFormat="1" ht="21">
      <c r="C17" s="31" t="s">
        <v>19</v>
      </c>
      <c r="D17" s="32"/>
      <c r="E17" s="32"/>
      <c r="F17" s="32"/>
      <c r="G17" s="32"/>
      <c r="H17" s="33"/>
    </row>
    <row r="18" spans="3:8" s="3" customFormat="1" ht="21">
      <c r="C18" s="11">
        <v>3</v>
      </c>
      <c r="D18" s="11" t="s">
        <v>1</v>
      </c>
      <c r="E18" s="24">
        <v>18213.7</v>
      </c>
      <c r="F18" s="27">
        <v>160027.04</v>
      </c>
      <c r="G18" s="27">
        <v>136045.55</v>
      </c>
      <c r="H18" s="27">
        <f>E18+F18-G18</f>
        <v>42195.19000000003</v>
      </c>
    </row>
    <row r="19" spans="3:8" s="3" customFormat="1" ht="21">
      <c r="C19" s="11">
        <v>4</v>
      </c>
      <c r="D19" s="14" t="s">
        <v>2</v>
      </c>
      <c r="E19" s="28">
        <v>2424.54</v>
      </c>
      <c r="F19" s="27">
        <v>25621.8</v>
      </c>
      <c r="G19" s="27">
        <v>22865.4</v>
      </c>
      <c r="H19" s="27">
        <f>E19+F19-G19</f>
        <v>5180.939999999999</v>
      </c>
    </row>
    <row r="20" spans="3:8" s="3" customFormat="1" ht="21" customHeight="1" hidden="1">
      <c r="C20" s="15">
        <v>5</v>
      </c>
      <c r="D20" s="14" t="s">
        <v>7</v>
      </c>
      <c r="E20" s="28"/>
      <c r="F20" s="27"/>
      <c r="G20" s="27"/>
      <c r="H20" s="27">
        <f>E20+F20-G20</f>
        <v>0</v>
      </c>
    </row>
    <row r="21" spans="3:8" s="3" customFormat="1" ht="21">
      <c r="C21" s="15">
        <v>5</v>
      </c>
      <c r="D21" s="14" t="s">
        <v>3</v>
      </c>
      <c r="E21" s="28">
        <v>1433.21</v>
      </c>
      <c r="F21" s="27">
        <v>15404.46</v>
      </c>
      <c r="G21" s="27">
        <v>13801.23</v>
      </c>
      <c r="H21" s="27">
        <f>E21+F21-G21</f>
        <v>3036.4399999999987</v>
      </c>
    </row>
    <row r="22" spans="3:8" s="3" customFormat="1" ht="41.25" customHeight="1" hidden="1">
      <c r="C22" s="15">
        <v>7</v>
      </c>
      <c r="D22" s="14" t="s">
        <v>4</v>
      </c>
      <c r="E22" s="28"/>
      <c r="F22" s="27"/>
      <c r="G22" s="27"/>
      <c r="H22" s="27">
        <f>E22+F22-G22</f>
        <v>0</v>
      </c>
    </row>
    <row r="23" spans="3:8" s="3" customFormat="1" ht="41.25">
      <c r="C23" s="11"/>
      <c r="D23" s="4" t="s">
        <v>5</v>
      </c>
      <c r="E23" s="25">
        <f>SUM(E18:E22)</f>
        <v>22071.45</v>
      </c>
      <c r="F23" s="25">
        <f>SUM(F18:F22)</f>
        <v>201053.3</v>
      </c>
      <c r="G23" s="25">
        <f>SUM(G18:G22)</f>
        <v>172712.18</v>
      </c>
      <c r="H23" s="25">
        <f>SUM(H18:H22)</f>
        <v>50412.570000000036</v>
      </c>
    </row>
    <row r="24" spans="3:8" s="3" customFormat="1" ht="41.25">
      <c r="C24" s="11"/>
      <c r="D24" s="4" t="s">
        <v>6</v>
      </c>
      <c r="E24" s="25">
        <f>E16+E23</f>
        <v>26944.25</v>
      </c>
      <c r="F24" s="25">
        <f>F16+F23</f>
        <v>250607.81</v>
      </c>
      <c r="G24" s="25">
        <f>G16+G23</f>
        <v>214412.08</v>
      </c>
      <c r="H24" s="25">
        <f>H16+H23</f>
        <v>63139.98000000004</v>
      </c>
    </row>
    <row r="25" spans="3:8" s="3" customFormat="1" ht="21">
      <c r="C25" s="16"/>
      <c r="D25" s="17"/>
      <c r="E25" s="17"/>
      <c r="F25" s="18"/>
      <c r="G25" s="18"/>
      <c r="H25" s="18"/>
    </row>
    <row r="26" spans="3:8" s="3" customFormat="1" ht="21">
      <c r="C26" s="16"/>
      <c r="D26" s="17"/>
      <c r="E26" s="17"/>
      <c r="F26" s="18"/>
      <c r="G26" s="18"/>
      <c r="H26" s="18"/>
    </row>
    <row r="27" spans="7:8" s="3" customFormat="1" ht="21">
      <c r="G27" s="8"/>
      <c r="H27" s="8" t="s">
        <v>20</v>
      </c>
    </row>
    <row r="28" spans="3:8" s="3" customFormat="1" ht="25.5">
      <c r="C28" s="170" t="s">
        <v>120</v>
      </c>
      <c r="D28" s="171"/>
      <c r="E28" s="171"/>
      <c r="F28" s="171"/>
      <c r="G28" s="171"/>
      <c r="H28" s="172"/>
    </row>
    <row r="29" spans="3:8" s="3" customFormat="1" ht="42">
      <c r="C29" s="184" t="s">
        <v>121</v>
      </c>
      <c r="D29" s="185"/>
      <c r="E29" s="185"/>
      <c r="F29" s="186"/>
      <c r="G29" s="41" t="s">
        <v>21</v>
      </c>
      <c r="H29" s="54" t="s">
        <v>126</v>
      </c>
    </row>
    <row r="30" spans="3:8" s="3" customFormat="1" ht="181.5" customHeight="1">
      <c r="C30" s="201" t="s">
        <v>123</v>
      </c>
      <c r="D30" s="202"/>
      <c r="E30" s="202"/>
      <c r="F30" s="203"/>
      <c r="G30" s="57">
        <f>F14</f>
        <v>49554.51</v>
      </c>
      <c r="H30" s="57">
        <f>H14</f>
        <v>12727.410000000003</v>
      </c>
    </row>
    <row r="31" spans="3:8" s="3" customFormat="1" ht="25.5">
      <c r="C31" s="170" t="s">
        <v>119</v>
      </c>
      <c r="D31" s="171"/>
      <c r="E31" s="171"/>
      <c r="F31" s="171"/>
      <c r="G31" s="171"/>
      <c r="H31" s="172"/>
    </row>
    <row r="32" spans="3:8" s="3" customFormat="1" ht="63">
      <c r="C32" s="196" t="s">
        <v>132</v>
      </c>
      <c r="D32" s="197"/>
      <c r="E32" s="178" t="s">
        <v>121</v>
      </c>
      <c r="F32" s="179"/>
      <c r="G32" s="180"/>
      <c r="H32" s="89" t="s">
        <v>128</v>
      </c>
    </row>
    <row r="33" spans="3:8" s="3" customFormat="1" ht="21">
      <c r="C33" s="118"/>
      <c r="D33" s="119">
        <v>-76.1</v>
      </c>
      <c r="E33" s="229" t="s">
        <v>157</v>
      </c>
      <c r="F33" s="219"/>
      <c r="G33" s="28">
        <v>1324.8</v>
      </c>
      <c r="H33" s="24"/>
    </row>
    <row r="34" spans="3:8" s="3" customFormat="1" ht="41.25" customHeight="1">
      <c r="C34" s="111"/>
      <c r="D34" s="115"/>
      <c r="E34" s="213" t="s">
        <v>140</v>
      </c>
      <c r="F34" s="160"/>
      <c r="G34" s="29">
        <f>SUM(G33:G33)</f>
        <v>1324.8</v>
      </c>
      <c r="H34" s="30">
        <f>G15-G34</f>
        <v>-1324.8</v>
      </c>
    </row>
    <row r="35" spans="3:8" s="3" customFormat="1" ht="21">
      <c r="C35" s="111"/>
      <c r="D35" s="115"/>
      <c r="E35" s="248" t="s">
        <v>141</v>
      </c>
      <c r="F35" s="249"/>
      <c r="G35" s="143"/>
      <c r="H35" s="144">
        <f>D33+H34</f>
        <v>-1400.8999999999999</v>
      </c>
    </row>
    <row r="36" spans="3:8" s="3" customFormat="1" ht="21">
      <c r="C36" s="145">
        <v>3</v>
      </c>
      <c r="D36" s="4" t="s">
        <v>22</v>
      </c>
      <c r="E36" s="230"/>
      <c r="F36" s="230"/>
      <c r="G36" s="19"/>
      <c r="H36" s="11"/>
    </row>
    <row r="37" spans="3:8" s="3" customFormat="1" ht="21">
      <c r="C37" s="247"/>
      <c r="D37" s="246"/>
      <c r="E37" s="231"/>
      <c r="F37" s="231"/>
      <c r="G37" s="19"/>
      <c r="H37" s="11"/>
    </row>
    <row r="38" spans="3:8" s="3" customFormat="1" ht="21">
      <c r="C38" s="247"/>
      <c r="D38" s="246"/>
      <c r="E38" s="246"/>
      <c r="F38" s="246"/>
      <c r="G38" s="19"/>
      <c r="H38" s="11"/>
    </row>
    <row r="39" s="6" customFormat="1" ht="21">
      <c r="C39" s="3"/>
    </row>
    <row r="40" spans="4:7" s="5" customFormat="1" ht="26.25">
      <c r="D40" s="1" t="s">
        <v>106</v>
      </c>
      <c r="E40" s="1"/>
      <c r="F40"/>
      <c r="G40"/>
    </row>
    <row r="41" spans="4:5" ht="26.25">
      <c r="D41" s="1" t="s">
        <v>107</v>
      </c>
      <c r="E41" s="1"/>
    </row>
    <row r="43" ht="15">
      <c r="G43" s="23">
        <f>G24</f>
        <v>214412.08</v>
      </c>
    </row>
    <row r="44" ht="15">
      <c r="G44">
        <v>22144.65</v>
      </c>
    </row>
    <row r="45" ht="15">
      <c r="G45">
        <v>21054.99</v>
      </c>
    </row>
    <row r="46" ht="15">
      <c r="G46" s="23">
        <f>SUM(G43:G45)</f>
        <v>257611.71999999997</v>
      </c>
    </row>
  </sheetData>
  <sheetProtection/>
  <mergeCells count="14">
    <mergeCell ref="C28:H28"/>
    <mergeCell ref="C29:F29"/>
    <mergeCell ref="C30:F30"/>
    <mergeCell ref="C31:H31"/>
    <mergeCell ref="E35:F35"/>
    <mergeCell ref="C32:D32"/>
    <mergeCell ref="E32:G32"/>
    <mergeCell ref="E33:F33"/>
    <mergeCell ref="E34:F34"/>
    <mergeCell ref="D37:D38"/>
    <mergeCell ref="C37:C38"/>
    <mergeCell ref="E36:F36"/>
    <mergeCell ref="E37:F37"/>
    <mergeCell ref="E38:F38"/>
  </mergeCells>
  <printOptions/>
  <pageMargins left="0.25" right="0.25" top="0.75" bottom="0.75" header="0.3" footer="0.3"/>
  <pageSetup horizontalDpi="600" verticalDpi="600" orientation="landscape" paperSize="9" scale="70" r:id="rId2"/>
  <rowBreaks count="1" manualBreakCount="1">
    <brk id="26" min="2" max="7" man="1"/>
  </rowBreak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C1:I54"/>
  <sheetViews>
    <sheetView view="pageBreakPreview" zoomScale="73" zoomScaleSheetLayoutView="73" zoomScalePageLayoutView="0" workbookViewId="0" topLeftCell="B35">
      <selection activeCell="F44" sqref="F44"/>
    </sheetView>
  </sheetViews>
  <sheetFormatPr defaultColWidth="9.140625" defaultRowHeight="15"/>
  <cols>
    <col min="1" max="2" width="9.140625" style="37" customWidth="1"/>
    <col min="3" max="3" width="9.00390625" style="37" customWidth="1"/>
    <col min="4" max="5" width="37.8515625" style="37" customWidth="1"/>
    <col min="6" max="6" width="48.57421875" style="37" customWidth="1"/>
    <col min="7" max="7" width="34.140625" style="37" customWidth="1"/>
    <col min="8" max="8" width="31.7109375" style="37" customWidth="1"/>
    <col min="9" max="9" width="20.140625" style="37" customWidth="1"/>
    <col min="10" max="16384" width="9.140625" style="37" customWidth="1"/>
  </cols>
  <sheetData>
    <row r="1" spans="4:7" s="35" customFormat="1" ht="28.5">
      <c r="D1" s="36" t="s">
        <v>24</v>
      </c>
      <c r="E1" s="36"/>
      <c r="F1" s="36"/>
      <c r="G1" s="36"/>
    </row>
    <row r="2" spans="4:7" s="35" customFormat="1" ht="28.5">
      <c r="D2" s="36" t="s">
        <v>25</v>
      </c>
      <c r="E2" s="36"/>
      <c r="F2" s="36"/>
      <c r="G2" s="36"/>
    </row>
    <row r="3" spans="4:8" ht="18.75">
      <c r="D3" s="38" t="s">
        <v>26</v>
      </c>
      <c r="E3" s="38"/>
      <c r="F3" s="38"/>
      <c r="G3" s="38"/>
      <c r="H3" s="39"/>
    </row>
    <row r="4" spans="4:8" ht="18.75">
      <c r="D4" s="38" t="s">
        <v>27</v>
      </c>
      <c r="E4" s="38"/>
      <c r="F4" s="38"/>
      <c r="G4" s="38"/>
      <c r="H4" s="39"/>
    </row>
    <row r="5" spans="4:8" ht="15">
      <c r="D5" s="39"/>
      <c r="E5" s="39"/>
      <c r="F5" s="39"/>
      <c r="G5" s="39"/>
      <c r="H5" s="39"/>
    </row>
    <row r="6" spans="4:7" s="40" customFormat="1" ht="26.25">
      <c r="D6" s="35" t="s">
        <v>28</v>
      </c>
      <c r="E6" s="35"/>
      <c r="F6" s="35"/>
      <c r="G6" s="35"/>
    </row>
    <row r="7" spans="4:7" s="40" customFormat="1" ht="26.25">
      <c r="D7" s="35" t="s">
        <v>63</v>
      </c>
      <c r="E7" s="35"/>
      <c r="F7" s="35"/>
      <c r="G7" s="35"/>
    </row>
    <row r="8" spans="4:7" s="40" customFormat="1" ht="26.25">
      <c r="D8" s="35" t="s">
        <v>125</v>
      </c>
      <c r="E8" s="35"/>
      <c r="F8" s="35"/>
      <c r="G8" s="35"/>
    </row>
    <row r="9" spans="4:8" ht="15">
      <c r="D9" s="39"/>
      <c r="E9" s="39"/>
      <c r="F9" s="39"/>
      <c r="G9" s="39"/>
      <c r="H9" s="39"/>
    </row>
    <row r="10" spans="3:8" ht="21">
      <c r="C10" s="40" t="s">
        <v>64</v>
      </c>
      <c r="D10" s="39"/>
      <c r="E10" s="39"/>
      <c r="F10" s="39"/>
      <c r="G10" s="39"/>
      <c r="H10" s="39"/>
    </row>
    <row r="11" s="40" customFormat="1" ht="34.5" customHeight="1">
      <c r="H11" s="53" t="s">
        <v>18</v>
      </c>
    </row>
    <row r="12" spans="3:8" s="42" customFormat="1" ht="40.5">
      <c r="C12" s="41" t="s">
        <v>11</v>
      </c>
      <c r="D12" s="41" t="s">
        <v>12</v>
      </c>
      <c r="E12" s="41" t="s">
        <v>114</v>
      </c>
      <c r="F12" s="41" t="s">
        <v>13</v>
      </c>
      <c r="G12" s="41" t="s">
        <v>14</v>
      </c>
      <c r="H12" s="41" t="s">
        <v>10</v>
      </c>
    </row>
    <row r="13" spans="3:8" s="40" customFormat="1" ht="21">
      <c r="C13" s="181" t="s">
        <v>15</v>
      </c>
      <c r="D13" s="182"/>
      <c r="E13" s="182"/>
      <c r="F13" s="182"/>
      <c r="G13" s="182"/>
      <c r="H13" s="183"/>
    </row>
    <row r="14" spans="3:8" s="40" customFormat="1" ht="21">
      <c r="C14" s="15">
        <v>1</v>
      </c>
      <c r="D14" s="15" t="s">
        <v>16</v>
      </c>
      <c r="E14" s="43">
        <v>15764.34</v>
      </c>
      <c r="F14" s="43">
        <v>103769.66</v>
      </c>
      <c r="G14" s="43">
        <v>70849.71</v>
      </c>
      <c r="H14" s="43">
        <f>E14+F14-G14</f>
        <v>48684.28999999999</v>
      </c>
    </row>
    <row r="15" spans="3:8" s="40" customFormat="1" ht="21">
      <c r="C15" s="15">
        <v>2</v>
      </c>
      <c r="D15" s="15" t="s">
        <v>17</v>
      </c>
      <c r="E15" s="43">
        <v>4551.07</v>
      </c>
      <c r="F15" s="43">
        <v>9428.83</v>
      </c>
      <c r="G15" s="43">
        <v>17619.59</v>
      </c>
      <c r="H15" s="43">
        <f>E15+F15-G15</f>
        <v>-3639.6900000000005</v>
      </c>
    </row>
    <row r="16" spans="3:8" s="40" customFormat="1" ht="41.25">
      <c r="C16" s="15"/>
      <c r="D16" s="44" t="s">
        <v>0</v>
      </c>
      <c r="E16" s="45">
        <f>SUM(E14:E15)</f>
        <v>20315.41</v>
      </c>
      <c r="F16" s="45">
        <f>SUM(F14:F15)</f>
        <v>113198.49</v>
      </c>
      <c r="G16" s="45">
        <f>SUM(G14:G15)</f>
        <v>88469.3</v>
      </c>
      <c r="H16" s="45">
        <f>SUM(H14:H15)</f>
        <v>45044.59999999999</v>
      </c>
    </row>
    <row r="17" spans="3:8" s="40" customFormat="1" ht="21">
      <c r="C17" s="181" t="s">
        <v>19</v>
      </c>
      <c r="D17" s="182"/>
      <c r="E17" s="182"/>
      <c r="F17" s="182"/>
      <c r="G17" s="182"/>
      <c r="H17" s="183"/>
    </row>
    <row r="18" spans="3:8" s="40" customFormat="1" ht="21">
      <c r="C18" s="15">
        <v>3</v>
      </c>
      <c r="D18" s="15" t="s">
        <v>1</v>
      </c>
      <c r="E18" s="43">
        <v>68853.05</v>
      </c>
      <c r="F18" s="47">
        <v>397087.56</v>
      </c>
      <c r="G18" s="47">
        <v>226943.85</v>
      </c>
      <c r="H18" s="47">
        <f>E18+F18-G18</f>
        <v>238996.75999999998</v>
      </c>
    </row>
    <row r="19" spans="3:8" s="40" customFormat="1" ht="21">
      <c r="C19" s="15">
        <v>4</v>
      </c>
      <c r="D19" s="48" t="s">
        <v>2</v>
      </c>
      <c r="E19" s="49">
        <v>7715.27</v>
      </c>
      <c r="F19" s="47">
        <v>33959.36</v>
      </c>
      <c r="G19" s="47">
        <v>31103.47</v>
      </c>
      <c r="H19" s="47">
        <f>E19+F19-G19</f>
        <v>10571.160000000003</v>
      </c>
    </row>
    <row r="20" spans="3:8" s="40" customFormat="1" ht="21" hidden="1">
      <c r="C20" s="15">
        <v>5</v>
      </c>
      <c r="D20" s="48" t="s">
        <v>7</v>
      </c>
      <c r="E20" s="49"/>
      <c r="F20" s="47"/>
      <c r="G20" s="47"/>
      <c r="H20" s="47">
        <f>E20+F20-G20</f>
        <v>0</v>
      </c>
    </row>
    <row r="21" spans="3:8" s="40" customFormat="1" ht="21">
      <c r="C21" s="15">
        <v>5</v>
      </c>
      <c r="D21" s="48" t="s">
        <v>3</v>
      </c>
      <c r="E21" s="49">
        <v>5044.43</v>
      </c>
      <c r="F21" s="47">
        <v>26072.73</v>
      </c>
      <c r="G21" s="47">
        <v>24004.88</v>
      </c>
      <c r="H21" s="47">
        <f>E21+F21-G21</f>
        <v>7112.279999999999</v>
      </c>
    </row>
    <row r="22" spans="3:8" s="40" customFormat="1" ht="41.25" hidden="1">
      <c r="C22" s="15">
        <v>7</v>
      </c>
      <c r="D22" s="48" t="s">
        <v>4</v>
      </c>
      <c r="E22" s="49"/>
      <c r="F22" s="47"/>
      <c r="G22" s="47"/>
      <c r="H22" s="47">
        <f>F22-G22</f>
        <v>0</v>
      </c>
    </row>
    <row r="23" spans="3:8" s="40" customFormat="1" ht="41.25">
      <c r="C23" s="15"/>
      <c r="D23" s="44" t="s">
        <v>5</v>
      </c>
      <c r="E23" s="45">
        <f>SUM(E18:E22)</f>
        <v>81612.75</v>
      </c>
      <c r="F23" s="45">
        <f>SUM(F18:F22)</f>
        <v>457119.64999999997</v>
      </c>
      <c r="G23" s="45">
        <f>SUM(G18:G22)</f>
        <v>282052.2</v>
      </c>
      <c r="H23" s="45">
        <f>SUM(H18:H22)</f>
        <v>256680.19999999998</v>
      </c>
    </row>
    <row r="24" spans="3:8" s="40" customFormat="1" ht="41.25">
      <c r="C24" s="15"/>
      <c r="D24" s="44" t="s">
        <v>6</v>
      </c>
      <c r="E24" s="45">
        <f>E16+E23</f>
        <v>101928.16</v>
      </c>
      <c r="F24" s="45">
        <f>F16+F23</f>
        <v>570318.14</v>
      </c>
      <c r="G24" s="45">
        <f>G16+G23</f>
        <v>370521.5</v>
      </c>
      <c r="H24" s="45">
        <f>H16+H23</f>
        <v>301724.8</v>
      </c>
    </row>
    <row r="25" spans="3:8" s="40" customFormat="1" ht="21">
      <c r="C25" s="50"/>
      <c r="D25" s="51"/>
      <c r="E25" s="51"/>
      <c r="F25" s="52"/>
      <c r="G25" s="52"/>
      <c r="H25" s="52"/>
    </row>
    <row r="26" spans="3:8" s="40" customFormat="1" ht="21">
      <c r="C26" s="50"/>
      <c r="D26" s="51"/>
      <c r="E26" s="51"/>
      <c r="F26" s="52"/>
      <c r="G26" s="52"/>
      <c r="H26" s="52"/>
    </row>
    <row r="27" spans="7:8" s="40" customFormat="1" ht="21">
      <c r="G27" s="53"/>
      <c r="H27" s="53" t="s">
        <v>20</v>
      </c>
    </row>
    <row r="28" spans="3:8" s="40" customFormat="1" ht="25.5">
      <c r="C28" s="170" t="s">
        <v>120</v>
      </c>
      <c r="D28" s="171"/>
      <c r="E28" s="171"/>
      <c r="F28" s="171"/>
      <c r="G28" s="171"/>
      <c r="H28" s="172"/>
    </row>
    <row r="29" spans="3:8" s="40" customFormat="1" ht="42">
      <c r="C29" s="184" t="s">
        <v>121</v>
      </c>
      <c r="D29" s="185"/>
      <c r="E29" s="185"/>
      <c r="F29" s="186"/>
      <c r="G29" s="41" t="s">
        <v>21</v>
      </c>
      <c r="H29" s="54" t="s">
        <v>126</v>
      </c>
    </row>
    <row r="30" spans="3:8" s="40" customFormat="1" ht="180.75" customHeight="1">
      <c r="C30" s="201" t="s">
        <v>123</v>
      </c>
      <c r="D30" s="202"/>
      <c r="E30" s="202"/>
      <c r="F30" s="203"/>
      <c r="G30" s="57">
        <f>F14</f>
        <v>103769.66</v>
      </c>
      <c r="H30" s="57">
        <f>H14</f>
        <v>48684.28999999999</v>
      </c>
    </row>
    <row r="31" spans="3:8" s="40" customFormat="1" ht="25.5">
      <c r="C31" s="170" t="s">
        <v>119</v>
      </c>
      <c r="D31" s="171"/>
      <c r="E31" s="171"/>
      <c r="F31" s="171"/>
      <c r="G31" s="171"/>
      <c r="H31" s="172"/>
    </row>
    <row r="32" spans="3:8" s="40" customFormat="1" ht="63">
      <c r="C32" s="196" t="s">
        <v>132</v>
      </c>
      <c r="D32" s="197"/>
      <c r="E32" s="178" t="s">
        <v>121</v>
      </c>
      <c r="F32" s="179"/>
      <c r="G32" s="180"/>
      <c r="H32" s="89" t="s">
        <v>128</v>
      </c>
    </row>
    <row r="33" spans="3:8" s="40" customFormat="1" ht="21">
      <c r="C33" s="103"/>
      <c r="D33" s="104">
        <v>11920.43</v>
      </c>
      <c r="E33" s="252" t="s">
        <v>104</v>
      </c>
      <c r="F33" s="253"/>
      <c r="G33" s="49">
        <f>23+11.48+5.33</f>
        <v>39.81</v>
      </c>
      <c r="H33" s="43"/>
    </row>
    <row r="34" spans="3:8" s="40" customFormat="1" ht="21">
      <c r="C34" s="98"/>
      <c r="D34" s="105"/>
      <c r="E34" s="252" t="s">
        <v>178</v>
      </c>
      <c r="F34" s="253"/>
      <c r="G34" s="49">
        <v>60</v>
      </c>
      <c r="H34" s="43"/>
    </row>
    <row r="35" spans="3:8" s="40" customFormat="1" ht="21">
      <c r="C35" s="98"/>
      <c r="D35" s="105"/>
      <c r="E35" s="252" t="s">
        <v>104</v>
      </c>
      <c r="F35" s="253"/>
      <c r="G35" s="49">
        <f>966+124+52+90</f>
        <v>1232</v>
      </c>
      <c r="H35" s="43"/>
    </row>
    <row r="36" spans="3:8" s="40" customFormat="1" ht="21">
      <c r="C36" s="98"/>
      <c r="D36" s="105"/>
      <c r="E36" s="252" t="s">
        <v>179</v>
      </c>
      <c r="F36" s="253"/>
      <c r="G36" s="49">
        <f>8840+256+144+144+225+78+29+13+80+82+108+165+258+162</f>
        <v>10584</v>
      </c>
      <c r="H36" s="43"/>
    </row>
    <row r="37" spans="3:8" s="40" customFormat="1" ht="21">
      <c r="C37" s="98"/>
      <c r="D37" s="105"/>
      <c r="E37" s="252"/>
      <c r="F37" s="253"/>
      <c r="G37" s="49"/>
      <c r="H37" s="43"/>
    </row>
    <row r="38" spans="3:8" s="40" customFormat="1" ht="21">
      <c r="C38" s="98"/>
      <c r="D38" s="106"/>
      <c r="E38" s="250" t="s">
        <v>140</v>
      </c>
      <c r="F38" s="251"/>
      <c r="G38" s="68">
        <f>SUM(G33:G37)</f>
        <v>11915.81</v>
      </c>
      <c r="H38" s="76">
        <f>G15-G38</f>
        <v>5703.780000000001</v>
      </c>
    </row>
    <row r="39" spans="3:8" s="40" customFormat="1" ht="21">
      <c r="C39" s="99"/>
      <c r="D39" s="107"/>
      <c r="E39" s="250" t="s">
        <v>141</v>
      </c>
      <c r="F39" s="251"/>
      <c r="G39" s="68"/>
      <c r="H39" s="76">
        <f>H38+D33</f>
        <v>17624.21</v>
      </c>
    </row>
    <row r="40" spans="3:8" s="40" customFormat="1" ht="21">
      <c r="C40" s="56">
        <v>3</v>
      </c>
      <c r="D40" s="44" t="s">
        <v>22</v>
      </c>
      <c r="E40" s="204"/>
      <c r="F40" s="204"/>
      <c r="G40" s="58"/>
      <c r="H40" s="15"/>
    </row>
    <row r="41" spans="3:8" s="40" customFormat="1" ht="21">
      <c r="C41" s="193"/>
      <c r="D41" s="194"/>
      <c r="E41" s="204"/>
      <c r="F41" s="204"/>
      <c r="G41" s="58"/>
      <c r="H41" s="15"/>
    </row>
    <row r="42" spans="3:8" s="40" customFormat="1" ht="21">
      <c r="C42" s="194"/>
      <c r="D42" s="194"/>
      <c r="E42" s="204"/>
      <c r="F42" s="204"/>
      <c r="G42" s="58"/>
      <c r="H42" s="15"/>
    </row>
    <row r="43" spans="3:8" s="40" customFormat="1" ht="21">
      <c r="C43" s="194"/>
      <c r="D43" s="194"/>
      <c r="E43" s="164"/>
      <c r="F43" s="164"/>
      <c r="G43" s="58"/>
      <c r="H43" s="15"/>
    </row>
    <row r="44" s="66" customFormat="1" ht="21">
      <c r="C44" s="40"/>
    </row>
    <row r="45" spans="3:9" s="66" customFormat="1" ht="60.75">
      <c r="C45" s="41" t="s">
        <v>11</v>
      </c>
      <c r="D45" s="41" t="s">
        <v>50</v>
      </c>
      <c r="E45" s="41" t="s">
        <v>48</v>
      </c>
      <c r="F45" s="41" t="s">
        <v>129</v>
      </c>
      <c r="G45" s="41" t="s">
        <v>130</v>
      </c>
      <c r="H45" s="41" t="s">
        <v>168</v>
      </c>
      <c r="I45" s="41" t="s">
        <v>115</v>
      </c>
    </row>
    <row r="46" spans="3:9" s="66" customFormat="1" ht="21">
      <c r="C46" s="139"/>
      <c r="D46" s="139" t="s">
        <v>91</v>
      </c>
      <c r="E46" s="140"/>
      <c r="F46" s="140">
        <v>19623.84</v>
      </c>
      <c r="G46" s="140">
        <v>8337.96</v>
      </c>
      <c r="H46" s="140">
        <f>F46-G46</f>
        <v>11285.880000000001</v>
      </c>
      <c r="I46" s="43">
        <f>E46-F46</f>
        <v>-19623.84</v>
      </c>
    </row>
    <row r="47" s="66" customFormat="1" ht="21">
      <c r="C47" s="40"/>
    </row>
    <row r="48" spans="4:7" s="64" customFormat="1" ht="26.25">
      <c r="D48" s="35" t="s">
        <v>106</v>
      </c>
      <c r="E48" s="35"/>
      <c r="F48" s="37"/>
      <c r="G48" s="37"/>
    </row>
    <row r="49" spans="4:5" ht="26.25">
      <c r="D49" s="35" t="s">
        <v>107</v>
      </c>
      <c r="E49" s="35"/>
    </row>
    <row r="51" ht="15">
      <c r="G51" s="132">
        <f>G24+G46</f>
        <v>378859.46</v>
      </c>
    </row>
    <row r="52" ht="15">
      <c r="G52" s="37">
        <v>31391.52</v>
      </c>
    </row>
    <row r="53" ht="15">
      <c r="G53" s="37">
        <v>31594.06</v>
      </c>
    </row>
    <row r="54" ht="15">
      <c r="G54" s="132">
        <f>SUM(G51:G53)</f>
        <v>441845.04000000004</v>
      </c>
    </row>
  </sheetData>
  <sheetProtection/>
  <mergeCells count="21">
    <mergeCell ref="C13:H13"/>
    <mergeCell ref="C17:H17"/>
    <mergeCell ref="C41:C43"/>
    <mergeCell ref="D41:D43"/>
    <mergeCell ref="E35:F35"/>
    <mergeCell ref="C28:H28"/>
    <mergeCell ref="C29:F29"/>
    <mergeCell ref="C30:F30"/>
    <mergeCell ref="C31:H31"/>
    <mergeCell ref="C32:D32"/>
    <mergeCell ref="E39:F39"/>
    <mergeCell ref="E37:F37"/>
    <mergeCell ref="E38:F38"/>
    <mergeCell ref="E32:G32"/>
    <mergeCell ref="E33:F33"/>
    <mergeCell ref="E34:F34"/>
    <mergeCell ref="E36:F36"/>
    <mergeCell ref="E40:F40"/>
    <mergeCell ref="E41:F41"/>
    <mergeCell ref="E42:F42"/>
    <mergeCell ref="E43:F43"/>
  </mergeCells>
  <printOptions/>
  <pageMargins left="0.25" right="0.25" top="0.75" bottom="0.75" header="0.3" footer="0.3"/>
  <pageSetup horizontalDpi="600" verticalDpi="600" orientation="landscape" paperSize="9" scale="56" r:id="rId2"/>
  <rowBreaks count="1" manualBreakCount="1">
    <brk id="26" min="2" max="8" man="1"/>
  </rowBreak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C1:J49"/>
  <sheetViews>
    <sheetView view="pageBreakPreview" zoomScale="73" zoomScaleSheetLayoutView="73" zoomScalePageLayoutView="0" workbookViewId="0" topLeftCell="A35">
      <selection activeCell="G50" sqref="G50"/>
    </sheetView>
  </sheetViews>
  <sheetFormatPr defaultColWidth="9.140625" defaultRowHeight="15"/>
  <cols>
    <col min="1" max="2" width="9.140625" style="37" customWidth="1"/>
    <col min="3" max="3" width="9.00390625" style="37" customWidth="1"/>
    <col min="4" max="5" width="37.8515625" style="37" customWidth="1"/>
    <col min="6" max="6" width="48.57421875" style="37" customWidth="1"/>
    <col min="7" max="7" width="34.140625" style="37" customWidth="1"/>
    <col min="8" max="8" width="30.7109375" style="37" customWidth="1"/>
    <col min="9" max="9" width="23.28125" style="37" customWidth="1"/>
    <col min="10" max="10" width="17.8515625" style="37" customWidth="1"/>
    <col min="11" max="16384" width="9.140625" style="37" customWidth="1"/>
  </cols>
  <sheetData>
    <row r="1" spans="4:7" s="35" customFormat="1" ht="28.5">
      <c r="D1" s="36" t="s">
        <v>24</v>
      </c>
      <c r="E1" s="36"/>
      <c r="F1" s="36"/>
      <c r="G1" s="36"/>
    </row>
    <row r="2" spans="4:7" s="35" customFormat="1" ht="28.5">
      <c r="D2" s="36" t="s">
        <v>25</v>
      </c>
      <c r="E2" s="36"/>
      <c r="F2" s="36"/>
      <c r="G2" s="36"/>
    </row>
    <row r="3" spans="4:8" ht="18.75">
      <c r="D3" s="38" t="s">
        <v>26</v>
      </c>
      <c r="E3" s="38"/>
      <c r="F3" s="38"/>
      <c r="G3" s="38"/>
      <c r="H3" s="39"/>
    </row>
    <row r="4" spans="4:8" ht="18.75">
      <c r="D4" s="38" t="s">
        <v>27</v>
      </c>
      <c r="E4" s="38"/>
      <c r="F4" s="38"/>
      <c r="G4" s="38"/>
      <c r="H4" s="39"/>
    </row>
    <row r="5" spans="4:8" ht="15">
      <c r="D5" s="39"/>
      <c r="E5" s="39"/>
      <c r="F5" s="39"/>
      <c r="G5" s="39"/>
      <c r="H5" s="39"/>
    </row>
    <row r="6" spans="4:7" s="40" customFormat="1" ht="26.25">
      <c r="D6" s="35" t="s">
        <v>28</v>
      </c>
      <c r="E6" s="35"/>
      <c r="F6" s="35"/>
      <c r="G6" s="35"/>
    </row>
    <row r="7" spans="4:7" s="40" customFormat="1" ht="26.25">
      <c r="D7" s="35" t="s">
        <v>65</v>
      </c>
      <c r="E7" s="35"/>
      <c r="F7" s="35"/>
      <c r="G7" s="35"/>
    </row>
    <row r="8" spans="4:7" s="40" customFormat="1" ht="26.25">
      <c r="D8" s="35" t="s">
        <v>125</v>
      </c>
      <c r="E8" s="35"/>
      <c r="F8" s="35"/>
      <c r="G8" s="35"/>
    </row>
    <row r="9" spans="4:8" ht="15">
      <c r="D9" s="39"/>
      <c r="E9" s="39"/>
      <c r="F9" s="39"/>
      <c r="G9" s="39"/>
      <c r="H9" s="39"/>
    </row>
    <row r="10" spans="3:8" ht="21">
      <c r="C10" s="40" t="s">
        <v>66</v>
      </c>
      <c r="D10" s="39"/>
      <c r="E10" s="39"/>
      <c r="F10" s="39"/>
      <c r="G10" s="39"/>
      <c r="H10" s="39"/>
    </row>
    <row r="11" s="40" customFormat="1" ht="34.5" customHeight="1">
      <c r="H11" s="53" t="s">
        <v>18</v>
      </c>
    </row>
    <row r="12" spans="3:8" s="42" customFormat="1" ht="40.5">
      <c r="C12" s="41" t="s">
        <v>11</v>
      </c>
      <c r="D12" s="41" t="s">
        <v>12</v>
      </c>
      <c r="E12" s="41" t="s">
        <v>114</v>
      </c>
      <c r="F12" s="41" t="s">
        <v>13</v>
      </c>
      <c r="G12" s="41" t="s">
        <v>14</v>
      </c>
      <c r="H12" s="41" t="s">
        <v>10</v>
      </c>
    </row>
    <row r="13" spans="3:8" s="40" customFormat="1" ht="21">
      <c r="C13" s="181" t="s">
        <v>15</v>
      </c>
      <c r="D13" s="182"/>
      <c r="E13" s="182"/>
      <c r="F13" s="182"/>
      <c r="G13" s="182"/>
      <c r="H13" s="183"/>
    </row>
    <row r="14" spans="3:8" s="40" customFormat="1" ht="21">
      <c r="C14" s="15">
        <v>1</v>
      </c>
      <c r="D14" s="15" t="s">
        <v>16</v>
      </c>
      <c r="E14" s="43">
        <v>8507.99</v>
      </c>
      <c r="F14" s="43">
        <v>87450.74</v>
      </c>
      <c r="G14" s="43">
        <v>70057.87</v>
      </c>
      <c r="H14" s="43">
        <f>E14+F14-G14</f>
        <v>25900.860000000015</v>
      </c>
    </row>
    <row r="15" spans="3:8" s="40" customFormat="1" ht="21">
      <c r="C15" s="15">
        <v>2</v>
      </c>
      <c r="D15" s="15" t="s">
        <v>17</v>
      </c>
      <c r="E15" s="43">
        <v>2387.75</v>
      </c>
      <c r="F15" s="43">
        <v>21388.08</v>
      </c>
      <c r="G15" s="43">
        <v>18985.32</v>
      </c>
      <c r="H15" s="43">
        <f>E15+F15-G15</f>
        <v>4790.510000000002</v>
      </c>
    </row>
    <row r="16" spans="3:8" s="40" customFormat="1" ht="41.25">
      <c r="C16" s="15"/>
      <c r="D16" s="44" t="s">
        <v>0</v>
      </c>
      <c r="E16" s="45">
        <f>SUM(E14:E15)</f>
        <v>10895.74</v>
      </c>
      <c r="F16" s="45">
        <f>SUM(F14:F15)</f>
        <v>108838.82</v>
      </c>
      <c r="G16" s="45">
        <f>SUM(G14:G15)</f>
        <v>89043.19</v>
      </c>
      <c r="H16" s="45">
        <f>SUM(H14:H15)</f>
        <v>30691.370000000017</v>
      </c>
    </row>
    <row r="17" spans="3:8" s="40" customFormat="1" ht="21">
      <c r="C17" s="181" t="s">
        <v>19</v>
      </c>
      <c r="D17" s="182"/>
      <c r="E17" s="182"/>
      <c r="F17" s="182"/>
      <c r="G17" s="182"/>
      <c r="H17" s="183"/>
    </row>
    <row r="18" spans="3:8" s="40" customFormat="1" ht="21">
      <c r="C18" s="15">
        <v>3</v>
      </c>
      <c r="D18" s="15" t="s">
        <v>1</v>
      </c>
      <c r="E18" s="43">
        <v>30216.84</v>
      </c>
      <c r="F18" s="47">
        <v>315103.19</v>
      </c>
      <c r="G18" s="47">
        <v>239311.56</v>
      </c>
      <c r="H18" s="47">
        <f>E18+F18-G18</f>
        <v>106008.47000000003</v>
      </c>
    </row>
    <row r="19" spans="3:8" s="40" customFormat="1" ht="21">
      <c r="C19" s="15">
        <v>4</v>
      </c>
      <c r="D19" s="48" t="s">
        <v>2</v>
      </c>
      <c r="E19" s="49">
        <v>3611.05</v>
      </c>
      <c r="F19" s="47">
        <v>34272.58</v>
      </c>
      <c r="G19" s="47">
        <v>34658.84</v>
      </c>
      <c r="H19" s="47">
        <f>E19+F19-G19</f>
        <v>3224.790000000008</v>
      </c>
    </row>
    <row r="20" spans="3:8" s="40" customFormat="1" ht="21" hidden="1">
      <c r="C20" s="15">
        <v>5</v>
      </c>
      <c r="D20" s="48" t="s">
        <v>7</v>
      </c>
      <c r="E20" s="49"/>
      <c r="F20" s="47"/>
      <c r="G20" s="47"/>
      <c r="H20" s="47">
        <f>E20+F20-G20</f>
        <v>0</v>
      </c>
    </row>
    <row r="21" spans="3:8" s="40" customFormat="1" ht="21">
      <c r="C21" s="15">
        <v>5</v>
      </c>
      <c r="D21" s="48" t="s">
        <v>3</v>
      </c>
      <c r="E21" s="49">
        <v>2175.42</v>
      </c>
      <c r="F21" s="47">
        <v>18865.63</v>
      </c>
      <c r="G21" s="47">
        <v>19291.27</v>
      </c>
      <c r="H21" s="47">
        <f>E21+F21-G21</f>
        <v>1749.7800000000025</v>
      </c>
    </row>
    <row r="22" spans="3:8" s="40" customFormat="1" ht="41.25" hidden="1">
      <c r="C22" s="15">
        <v>7</v>
      </c>
      <c r="D22" s="48" t="s">
        <v>4</v>
      </c>
      <c r="E22" s="49"/>
      <c r="F22" s="47"/>
      <c r="G22" s="47"/>
      <c r="H22" s="47">
        <f>F22-G22</f>
        <v>0</v>
      </c>
    </row>
    <row r="23" spans="3:8" s="40" customFormat="1" ht="41.25">
      <c r="C23" s="15"/>
      <c r="D23" s="44" t="s">
        <v>5</v>
      </c>
      <c r="E23" s="45">
        <f>SUM(E18:E22)</f>
        <v>36003.31</v>
      </c>
      <c r="F23" s="45">
        <f>SUM(F18:F22)</f>
        <v>368241.4</v>
      </c>
      <c r="G23" s="45">
        <f>SUM(G18:G22)</f>
        <v>293261.67000000004</v>
      </c>
      <c r="H23" s="45">
        <f>SUM(H18:H22)</f>
        <v>110983.04000000004</v>
      </c>
    </row>
    <row r="24" spans="3:8" s="40" customFormat="1" ht="41.25">
      <c r="C24" s="15"/>
      <c r="D24" s="44" t="s">
        <v>6</v>
      </c>
      <c r="E24" s="45">
        <f>E16+E23</f>
        <v>46899.049999999996</v>
      </c>
      <c r="F24" s="45">
        <f>F16+F23</f>
        <v>477080.22000000003</v>
      </c>
      <c r="G24" s="45">
        <f>G16+G23</f>
        <v>382304.86000000004</v>
      </c>
      <c r="H24" s="45">
        <f>H16+H23</f>
        <v>141674.41000000006</v>
      </c>
    </row>
    <row r="25" spans="3:9" s="40" customFormat="1" ht="21">
      <c r="C25" s="50"/>
      <c r="D25" s="51"/>
      <c r="E25" s="51"/>
      <c r="F25" s="52"/>
      <c r="G25" s="52"/>
      <c r="H25" s="52"/>
      <c r="I25" s="69"/>
    </row>
    <row r="26" spans="3:8" s="40" customFormat="1" ht="21">
      <c r="C26" s="50"/>
      <c r="D26" s="51"/>
      <c r="E26" s="51"/>
      <c r="F26" s="52"/>
      <c r="G26" s="52"/>
      <c r="H26" s="52"/>
    </row>
    <row r="27" spans="7:8" s="40" customFormat="1" ht="21">
      <c r="G27" s="53"/>
      <c r="H27" s="53" t="s">
        <v>20</v>
      </c>
    </row>
    <row r="28" spans="3:8" s="40" customFormat="1" ht="25.5">
      <c r="C28" s="170" t="s">
        <v>120</v>
      </c>
      <c r="D28" s="171"/>
      <c r="E28" s="171"/>
      <c r="F28" s="171"/>
      <c r="G28" s="171"/>
      <c r="H28" s="172"/>
    </row>
    <row r="29" spans="3:8" s="40" customFormat="1" ht="63">
      <c r="C29" s="184" t="s">
        <v>121</v>
      </c>
      <c r="D29" s="185"/>
      <c r="E29" s="185"/>
      <c r="F29" s="186"/>
      <c r="G29" s="41" t="s">
        <v>21</v>
      </c>
      <c r="H29" s="54" t="s">
        <v>126</v>
      </c>
    </row>
    <row r="30" spans="3:8" s="40" customFormat="1" ht="180" customHeight="1">
      <c r="C30" s="201" t="s">
        <v>123</v>
      </c>
      <c r="D30" s="202"/>
      <c r="E30" s="202"/>
      <c r="F30" s="203"/>
      <c r="G30" s="57">
        <f>F14</f>
        <v>87450.74</v>
      </c>
      <c r="H30" s="57">
        <f>H14</f>
        <v>25900.860000000015</v>
      </c>
    </row>
    <row r="31" spans="3:8" s="40" customFormat="1" ht="25.5">
      <c r="C31" s="170" t="s">
        <v>119</v>
      </c>
      <c r="D31" s="171"/>
      <c r="E31" s="171"/>
      <c r="F31" s="171"/>
      <c r="G31" s="171"/>
      <c r="H31" s="172"/>
    </row>
    <row r="32" spans="3:8" s="40" customFormat="1" ht="63">
      <c r="C32" s="196" t="s">
        <v>132</v>
      </c>
      <c r="D32" s="197"/>
      <c r="E32" s="178" t="s">
        <v>121</v>
      </c>
      <c r="F32" s="179"/>
      <c r="G32" s="180"/>
      <c r="H32" s="89" t="s">
        <v>128</v>
      </c>
    </row>
    <row r="33" spans="3:8" s="40" customFormat="1" ht="21">
      <c r="C33" s="103"/>
      <c r="D33" s="104">
        <v>-73848.99</v>
      </c>
      <c r="E33" s="234"/>
      <c r="F33" s="192"/>
      <c r="G33" s="49"/>
      <c r="H33" s="43"/>
    </row>
    <row r="34" spans="3:8" s="40" customFormat="1" ht="21">
      <c r="C34" s="98"/>
      <c r="D34" s="105"/>
      <c r="E34" s="254"/>
      <c r="F34" s="212"/>
      <c r="G34" s="49"/>
      <c r="H34" s="43"/>
    </row>
    <row r="35" spans="3:8" s="40" customFormat="1" ht="21">
      <c r="C35" s="98"/>
      <c r="D35" s="105"/>
      <c r="E35" s="234"/>
      <c r="F35" s="192"/>
      <c r="G35" s="49"/>
      <c r="H35" s="43"/>
    </row>
    <row r="36" spans="3:8" s="40" customFormat="1" ht="21">
      <c r="C36" s="98"/>
      <c r="D36" s="106"/>
      <c r="E36" s="213" t="s">
        <v>140</v>
      </c>
      <c r="F36" s="160"/>
      <c r="G36" s="68">
        <f>SUM(G33:G35)</f>
        <v>0</v>
      </c>
      <c r="H36" s="76">
        <f>G15-G36</f>
        <v>18985.32</v>
      </c>
    </row>
    <row r="37" spans="3:8" s="40" customFormat="1" ht="21">
      <c r="C37" s="99"/>
      <c r="D37" s="107"/>
      <c r="E37" s="213" t="s">
        <v>141</v>
      </c>
      <c r="F37" s="160"/>
      <c r="G37" s="68"/>
      <c r="H37" s="76">
        <f>D33+H36</f>
        <v>-54863.670000000006</v>
      </c>
    </row>
    <row r="38" spans="3:8" s="40" customFormat="1" ht="21">
      <c r="C38" s="56">
        <v>3</v>
      </c>
      <c r="D38" s="44" t="s">
        <v>22</v>
      </c>
      <c r="E38" s="204"/>
      <c r="F38" s="204"/>
      <c r="G38" s="58"/>
      <c r="H38" s="15"/>
    </row>
    <row r="39" spans="3:8" s="40" customFormat="1" ht="21">
      <c r="C39" s="141"/>
      <c r="D39" s="75"/>
      <c r="E39" s="204"/>
      <c r="F39" s="204"/>
      <c r="G39" s="58"/>
      <c r="H39" s="15"/>
    </row>
    <row r="40" spans="3:9" s="66" customFormat="1" ht="21">
      <c r="C40" s="120"/>
      <c r="D40" s="120"/>
      <c r="E40" s="120"/>
      <c r="F40" s="121"/>
      <c r="G40" s="95"/>
      <c r="H40" s="122"/>
      <c r="I40" s="53" t="s">
        <v>47</v>
      </c>
    </row>
    <row r="41" spans="3:10" s="64" customFormat="1" ht="60.75">
      <c r="C41" s="41" t="s">
        <v>11</v>
      </c>
      <c r="D41" s="41" t="s">
        <v>50</v>
      </c>
      <c r="E41" s="41" t="s">
        <v>166</v>
      </c>
      <c r="F41" s="41" t="s">
        <v>114</v>
      </c>
      <c r="G41" s="41" t="s">
        <v>167</v>
      </c>
      <c r="H41" s="41" t="s">
        <v>130</v>
      </c>
      <c r="I41" s="41" t="s">
        <v>168</v>
      </c>
      <c r="J41" s="41" t="s">
        <v>115</v>
      </c>
    </row>
    <row r="42" spans="3:10" ht="21">
      <c r="C42" s="15">
        <v>1</v>
      </c>
      <c r="D42" s="15" t="s">
        <v>99</v>
      </c>
      <c r="E42" s="43">
        <v>7181.3</v>
      </c>
      <c r="F42" s="43">
        <v>9420.26</v>
      </c>
      <c r="G42" s="43"/>
      <c r="H42" s="65">
        <v>8927.19</v>
      </c>
      <c r="I42" s="43">
        <f>F42-H42</f>
        <v>493.0699999999997</v>
      </c>
      <c r="J42" s="146">
        <f>E42-G42</f>
        <v>7181.3</v>
      </c>
    </row>
    <row r="44" spans="4:5" ht="26.25">
      <c r="D44" s="35" t="s">
        <v>106</v>
      </c>
      <c r="E44" s="35"/>
    </row>
    <row r="45" spans="4:5" ht="26.25">
      <c r="D45" s="35" t="s">
        <v>107</v>
      </c>
      <c r="E45" s="35"/>
    </row>
    <row r="46" ht="15">
      <c r="G46" s="132">
        <f>G24+H42</f>
        <v>391232.05000000005</v>
      </c>
    </row>
    <row r="47" ht="15">
      <c r="G47" s="37">
        <v>32125.36</v>
      </c>
    </row>
    <row r="48" ht="15">
      <c r="G48" s="37">
        <v>48071.63</v>
      </c>
    </row>
    <row r="49" ht="15">
      <c r="G49" s="132">
        <f>SUM(G46:G48)</f>
        <v>471429.04000000004</v>
      </c>
    </row>
  </sheetData>
  <sheetProtection/>
  <mergeCells count="15">
    <mergeCell ref="C30:F30"/>
    <mergeCell ref="C31:H31"/>
    <mergeCell ref="C32:D32"/>
    <mergeCell ref="E32:G32"/>
    <mergeCell ref="C13:H13"/>
    <mergeCell ref="C17:H17"/>
    <mergeCell ref="C28:H28"/>
    <mergeCell ref="C29:F29"/>
    <mergeCell ref="E38:F38"/>
    <mergeCell ref="E39:F39"/>
    <mergeCell ref="E37:F37"/>
    <mergeCell ref="E33:F33"/>
    <mergeCell ref="E34:F34"/>
    <mergeCell ref="E35:F35"/>
    <mergeCell ref="E36:F36"/>
  </mergeCells>
  <printOptions/>
  <pageMargins left="0.25" right="0.25" top="0.75" bottom="0.75" header="0.3" footer="0.3"/>
  <pageSetup horizontalDpi="600" verticalDpi="600" orientation="landscape" paperSize="9" scale="54" r:id="rId2"/>
  <rowBreaks count="1" manualBreakCount="1">
    <brk id="30" min="2" max="9" man="1"/>
  </rowBreaks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61"/>
  <sheetViews>
    <sheetView view="pageBreakPreview" zoomScale="73" zoomScaleSheetLayoutView="73" zoomScalePageLayoutView="0" workbookViewId="0" topLeftCell="B33">
      <selection activeCell="H47" sqref="H47:H48"/>
    </sheetView>
  </sheetViews>
  <sheetFormatPr defaultColWidth="9.140625" defaultRowHeight="15"/>
  <cols>
    <col min="1" max="1" width="9.00390625" style="37" customWidth="1"/>
    <col min="2" max="2" width="37.8515625" style="37" customWidth="1"/>
    <col min="3" max="3" width="44.140625" style="37" customWidth="1"/>
    <col min="4" max="4" width="45.00390625" style="37" customWidth="1"/>
    <col min="5" max="5" width="44.57421875" style="37" customWidth="1"/>
    <col min="6" max="6" width="39.7109375" style="37" customWidth="1"/>
    <col min="7" max="7" width="23.28125" style="37" customWidth="1"/>
    <col min="8" max="8" width="19.7109375" style="37" customWidth="1"/>
    <col min="9" max="16384" width="9.140625" style="37" customWidth="1"/>
  </cols>
  <sheetData>
    <row r="1" spans="2:5" s="35" customFormat="1" ht="28.5">
      <c r="B1" s="36" t="s">
        <v>24</v>
      </c>
      <c r="C1" s="36"/>
      <c r="D1" s="36"/>
      <c r="E1" s="36"/>
    </row>
    <row r="2" spans="2:5" s="35" customFormat="1" ht="28.5">
      <c r="B2" s="36" t="s">
        <v>25</v>
      </c>
      <c r="C2" s="36"/>
      <c r="D2" s="36"/>
      <c r="E2" s="36"/>
    </row>
    <row r="3" spans="2:6" ht="18.75">
      <c r="B3" s="38" t="s">
        <v>26</v>
      </c>
      <c r="C3" s="38"/>
      <c r="D3" s="38"/>
      <c r="E3" s="38"/>
      <c r="F3" s="39"/>
    </row>
    <row r="4" spans="2:6" ht="18.75">
      <c r="B4" s="38" t="s">
        <v>27</v>
      </c>
      <c r="C4" s="38"/>
      <c r="D4" s="38"/>
      <c r="E4" s="38"/>
      <c r="F4" s="39"/>
    </row>
    <row r="5" spans="2:6" ht="15">
      <c r="B5" s="39"/>
      <c r="C5" s="39"/>
      <c r="D5" s="39"/>
      <c r="E5" s="39"/>
      <c r="F5" s="39"/>
    </row>
    <row r="6" spans="2:5" s="40" customFormat="1" ht="26.25">
      <c r="B6" s="35" t="s">
        <v>28</v>
      </c>
      <c r="C6" s="35"/>
      <c r="D6" s="35"/>
      <c r="E6" s="35"/>
    </row>
    <row r="7" spans="2:5" s="40" customFormat="1" ht="26.25">
      <c r="B7" s="35" t="s">
        <v>67</v>
      </c>
      <c r="C7" s="35"/>
      <c r="D7" s="35"/>
      <c r="E7" s="35"/>
    </row>
    <row r="8" spans="2:5" s="40" customFormat="1" ht="26.25">
      <c r="B8" s="35" t="s">
        <v>125</v>
      </c>
      <c r="C8" s="35"/>
      <c r="D8" s="35"/>
      <c r="E8" s="35"/>
    </row>
    <row r="9" spans="2:6" ht="15">
      <c r="B9" s="39"/>
      <c r="C9" s="39"/>
      <c r="D9" s="39"/>
      <c r="E9" s="39"/>
      <c r="F9" s="39"/>
    </row>
    <row r="10" spans="1:6" ht="21">
      <c r="A10" s="40" t="s">
        <v>68</v>
      </c>
      <c r="B10" s="39"/>
      <c r="C10" s="39"/>
      <c r="D10" s="39"/>
      <c r="E10" s="39"/>
      <c r="F10" s="39"/>
    </row>
    <row r="11" s="40" customFormat="1" ht="34.5" customHeight="1">
      <c r="F11" s="53" t="s">
        <v>18</v>
      </c>
    </row>
    <row r="12" spans="1:6" s="42" customFormat="1" ht="20.25">
      <c r="A12" s="41" t="s">
        <v>11</v>
      </c>
      <c r="B12" s="41" t="s">
        <v>12</v>
      </c>
      <c r="C12" s="41" t="s">
        <v>114</v>
      </c>
      <c r="D12" s="41" t="s">
        <v>13</v>
      </c>
      <c r="E12" s="41" t="s">
        <v>14</v>
      </c>
      <c r="F12" s="41" t="s">
        <v>10</v>
      </c>
    </row>
    <row r="13" spans="1:6" s="40" customFormat="1" ht="21">
      <c r="A13" s="181" t="s">
        <v>15</v>
      </c>
      <c r="B13" s="182"/>
      <c r="C13" s="182"/>
      <c r="D13" s="182"/>
      <c r="E13" s="182"/>
      <c r="F13" s="183"/>
    </row>
    <row r="14" spans="1:6" s="40" customFormat="1" ht="21">
      <c r="A14" s="15">
        <v>1</v>
      </c>
      <c r="B14" s="15" t="s">
        <v>16</v>
      </c>
      <c r="C14" s="43">
        <v>20188.19</v>
      </c>
      <c r="D14" s="43">
        <v>73497.6</v>
      </c>
      <c r="E14" s="43">
        <v>60459.96</v>
      </c>
      <c r="F14" s="43">
        <f>C14+D14-E14</f>
        <v>33225.83000000001</v>
      </c>
    </row>
    <row r="15" spans="1:6" s="40" customFormat="1" ht="21">
      <c r="A15" s="15">
        <v>2</v>
      </c>
      <c r="B15" s="15" t="s">
        <v>17</v>
      </c>
      <c r="C15" s="43">
        <v>5735.28</v>
      </c>
      <c r="D15" s="43">
        <v>10610.25</v>
      </c>
      <c r="E15" s="43">
        <v>11367.78</v>
      </c>
      <c r="F15" s="43">
        <f>C15+D15-E15</f>
        <v>4977.749999999998</v>
      </c>
    </row>
    <row r="16" spans="1:6" s="40" customFormat="1" ht="42">
      <c r="A16" s="15">
        <v>3</v>
      </c>
      <c r="B16" s="67" t="s">
        <v>87</v>
      </c>
      <c r="C16" s="43">
        <v>2533.59</v>
      </c>
      <c r="D16" s="43">
        <v>14080</v>
      </c>
      <c r="E16" s="43">
        <v>11817.37</v>
      </c>
      <c r="F16" s="43">
        <f>C16+D16-E16</f>
        <v>4796.219999999999</v>
      </c>
    </row>
    <row r="17" spans="1:6" s="40" customFormat="1" ht="21">
      <c r="A17" s="15">
        <v>4</v>
      </c>
      <c r="B17" s="67" t="s">
        <v>182</v>
      </c>
      <c r="C17" s="43"/>
      <c r="D17" s="43">
        <v>19043</v>
      </c>
      <c r="E17" s="43">
        <v>206.91</v>
      </c>
      <c r="F17" s="43">
        <f>C17+D17-E17</f>
        <v>18836.09</v>
      </c>
    </row>
    <row r="18" spans="1:6" s="40" customFormat="1" ht="41.25">
      <c r="A18" s="15"/>
      <c r="B18" s="44" t="s">
        <v>0</v>
      </c>
      <c r="C18" s="45">
        <f>SUM(C14:C16)</f>
        <v>28457.059999999998</v>
      </c>
      <c r="D18" s="45">
        <f>SUM(D14:D17)</f>
        <v>117230.85</v>
      </c>
      <c r="E18" s="45">
        <f>SUM(E14:E17)</f>
        <v>83852.02</v>
      </c>
      <c r="F18" s="45">
        <f>SUM(F14:F17)</f>
        <v>61835.890000000014</v>
      </c>
    </row>
    <row r="19" spans="1:6" s="40" customFormat="1" ht="21">
      <c r="A19" s="181" t="s">
        <v>19</v>
      </c>
      <c r="B19" s="182"/>
      <c r="C19" s="182"/>
      <c r="D19" s="182"/>
      <c r="E19" s="182"/>
      <c r="F19" s="183"/>
    </row>
    <row r="20" spans="1:6" s="40" customFormat="1" ht="21">
      <c r="A20" s="15">
        <v>4</v>
      </c>
      <c r="B20" s="15" t="s">
        <v>1</v>
      </c>
      <c r="C20" s="43">
        <v>87169.32</v>
      </c>
      <c r="D20" s="47">
        <v>319420.24</v>
      </c>
      <c r="E20" s="47">
        <f>3000+252717.71</f>
        <v>255717.71</v>
      </c>
      <c r="F20" s="47">
        <f>C20+D20-E20</f>
        <v>150871.85</v>
      </c>
    </row>
    <row r="21" spans="1:6" s="40" customFormat="1" ht="21">
      <c r="A21" s="15">
        <v>5</v>
      </c>
      <c r="B21" s="48" t="s">
        <v>2</v>
      </c>
      <c r="C21" s="49">
        <v>8388.72</v>
      </c>
      <c r="D21" s="47">
        <v>39480.58</v>
      </c>
      <c r="E21" s="47">
        <v>32711.43</v>
      </c>
      <c r="F21" s="47">
        <f>C21+D21-E21</f>
        <v>15157.870000000003</v>
      </c>
    </row>
    <row r="22" spans="1:6" s="40" customFormat="1" ht="41.25">
      <c r="A22" s="15">
        <v>6</v>
      </c>
      <c r="B22" s="48" t="s">
        <v>4</v>
      </c>
      <c r="C22" s="49">
        <v>21647.54</v>
      </c>
      <c r="D22" s="47">
        <f>52085.13+3721.67</f>
        <v>55806.799999999996</v>
      </c>
      <c r="E22" s="47">
        <f>55778.64+3543.67</f>
        <v>59322.31</v>
      </c>
      <c r="F22" s="47">
        <f>C22+D22-E22</f>
        <v>18132.03</v>
      </c>
    </row>
    <row r="23" spans="1:6" s="40" customFormat="1" ht="21">
      <c r="A23" s="15">
        <v>7</v>
      </c>
      <c r="B23" s="48" t="s">
        <v>3</v>
      </c>
      <c r="C23" s="49">
        <v>5194.18</v>
      </c>
      <c r="D23" s="47">
        <v>23164.91</v>
      </c>
      <c r="E23" s="47">
        <v>19870.83</v>
      </c>
      <c r="F23" s="47">
        <f>C23+D23-E23</f>
        <v>8488.259999999998</v>
      </c>
    </row>
    <row r="24" spans="1:6" s="40" customFormat="1" ht="41.25">
      <c r="A24" s="15"/>
      <c r="B24" s="44" t="s">
        <v>5</v>
      </c>
      <c r="C24" s="45">
        <f>SUM(C20:C23)</f>
        <v>122399.76000000001</v>
      </c>
      <c r="D24" s="45">
        <f>SUM(D20:D23)</f>
        <v>437872.52999999997</v>
      </c>
      <c r="E24" s="45">
        <f>SUM(E20:E23)</f>
        <v>367622.28</v>
      </c>
      <c r="F24" s="45">
        <f>SUM(F20:F23)</f>
        <v>192650.01</v>
      </c>
    </row>
    <row r="25" spans="1:6" s="40" customFormat="1" ht="41.25">
      <c r="A25" s="15"/>
      <c r="B25" s="44" t="s">
        <v>6</v>
      </c>
      <c r="C25" s="45">
        <f>C18+C24</f>
        <v>150856.82</v>
      </c>
      <c r="D25" s="45">
        <f>D18+D24</f>
        <v>555103.38</v>
      </c>
      <c r="E25" s="45">
        <f>E18+E24</f>
        <v>451474.30000000005</v>
      </c>
      <c r="F25" s="45">
        <f>F18+F24</f>
        <v>254485.90000000002</v>
      </c>
    </row>
    <row r="26" spans="1:7" s="40" customFormat="1" ht="21">
      <c r="A26" s="50"/>
      <c r="B26" s="51"/>
      <c r="C26" s="51"/>
      <c r="D26" s="52"/>
      <c r="E26" s="52"/>
      <c r="F26" s="52"/>
      <c r="G26" s="69"/>
    </row>
    <row r="27" spans="1:6" s="40" customFormat="1" ht="21">
      <c r="A27" s="50"/>
      <c r="B27" s="51"/>
      <c r="C27" s="51"/>
      <c r="D27" s="52"/>
      <c r="E27" s="52"/>
      <c r="F27" s="52"/>
    </row>
    <row r="28" spans="5:6" s="40" customFormat="1" ht="21">
      <c r="E28" s="53"/>
      <c r="F28" s="53" t="s">
        <v>20</v>
      </c>
    </row>
    <row r="29" spans="1:6" s="40" customFormat="1" ht="25.5">
      <c r="A29" s="170" t="s">
        <v>120</v>
      </c>
      <c r="B29" s="171"/>
      <c r="C29" s="171"/>
      <c r="D29" s="171"/>
      <c r="E29" s="171"/>
      <c r="F29" s="172"/>
    </row>
    <row r="30" spans="1:6" s="40" customFormat="1" ht="42">
      <c r="A30" s="184" t="s">
        <v>121</v>
      </c>
      <c r="B30" s="185"/>
      <c r="C30" s="185"/>
      <c r="D30" s="186"/>
      <c r="E30" s="41" t="s">
        <v>21</v>
      </c>
      <c r="F30" s="54" t="s">
        <v>110</v>
      </c>
    </row>
    <row r="31" spans="1:6" s="40" customFormat="1" ht="174.75" customHeight="1">
      <c r="A31" s="201" t="s">
        <v>123</v>
      </c>
      <c r="B31" s="202"/>
      <c r="C31" s="202"/>
      <c r="D31" s="203"/>
      <c r="E31" s="57">
        <f>D14</f>
        <v>73497.6</v>
      </c>
      <c r="F31" s="57">
        <f>F14</f>
        <v>33225.83000000001</v>
      </c>
    </row>
    <row r="32" spans="1:6" s="40" customFormat="1" ht="25.5">
      <c r="A32" s="170" t="s">
        <v>119</v>
      </c>
      <c r="B32" s="171"/>
      <c r="C32" s="171"/>
      <c r="D32" s="171"/>
      <c r="E32" s="171"/>
      <c r="F32" s="172"/>
    </row>
    <row r="33" spans="1:6" s="40" customFormat="1" ht="79.5" customHeight="1">
      <c r="A33" s="196" t="s">
        <v>132</v>
      </c>
      <c r="B33" s="197"/>
      <c r="C33" s="178" t="s">
        <v>121</v>
      </c>
      <c r="D33" s="179"/>
      <c r="E33" s="180"/>
      <c r="F33" s="89" t="s">
        <v>128</v>
      </c>
    </row>
    <row r="34" spans="1:6" s="40" customFormat="1" ht="21">
      <c r="A34" s="103"/>
      <c r="B34" s="104">
        <v>17120.46</v>
      </c>
      <c r="C34" s="192" t="s">
        <v>104</v>
      </c>
      <c r="D34" s="165"/>
      <c r="E34" s="49">
        <f>3000+140+480+388+130</f>
        <v>4138</v>
      </c>
      <c r="F34" s="43"/>
    </row>
    <row r="35" spans="1:6" s="40" customFormat="1" ht="21">
      <c r="A35" s="257"/>
      <c r="B35" s="255"/>
      <c r="C35" s="192" t="s">
        <v>183</v>
      </c>
      <c r="D35" s="165"/>
      <c r="E35" s="49">
        <f>244+200+370+582</f>
        <v>1396</v>
      </c>
      <c r="F35" s="43"/>
    </row>
    <row r="36" spans="1:6" s="40" customFormat="1" ht="21">
      <c r="A36" s="257"/>
      <c r="B36" s="255"/>
      <c r="C36" s="192" t="s">
        <v>184</v>
      </c>
      <c r="D36" s="165"/>
      <c r="E36" s="49">
        <f>2635.94+54+14.9+16.65+18.9</f>
        <v>2740.3900000000003</v>
      </c>
      <c r="F36" s="43"/>
    </row>
    <row r="37" spans="1:6" s="40" customFormat="1" ht="21">
      <c r="A37" s="257"/>
      <c r="B37" s="255"/>
      <c r="C37" s="192" t="s">
        <v>185</v>
      </c>
      <c r="D37" s="165"/>
      <c r="E37" s="49">
        <f>6000+12870+1171.16+197.34+250</f>
        <v>20488.5</v>
      </c>
      <c r="F37" s="43"/>
    </row>
    <row r="38" spans="1:6" s="40" customFormat="1" ht="21">
      <c r="A38" s="258"/>
      <c r="B38" s="256"/>
      <c r="C38" s="192" t="s">
        <v>91</v>
      </c>
      <c r="D38" s="165"/>
      <c r="E38" s="49">
        <f>220+122.5+94</f>
        <v>436.5</v>
      </c>
      <c r="F38" s="43"/>
    </row>
    <row r="39" spans="1:6" s="40" customFormat="1" ht="21">
      <c r="A39" s="258"/>
      <c r="B39" s="256"/>
      <c r="C39" s="192"/>
      <c r="D39" s="165"/>
      <c r="E39" s="49"/>
      <c r="F39" s="43"/>
    </row>
    <row r="40" spans="1:6" s="40" customFormat="1" ht="21">
      <c r="A40" s="98"/>
      <c r="B40" s="106"/>
      <c r="C40" s="160" t="s">
        <v>140</v>
      </c>
      <c r="D40" s="195"/>
      <c r="E40" s="68">
        <f>SUM(E34:E39)</f>
        <v>29199.39</v>
      </c>
      <c r="F40" s="76">
        <f>E15-E40</f>
        <v>-17831.61</v>
      </c>
    </row>
    <row r="41" spans="1:6" s="40" customFormat="1" ht="21">
      <c r="A41" s="99"/>
      <c r="B41" s="107"/>
      <c r="C41" s="213" t="s">
        <v>141</v>
      </c>
      <c r="D41" s="160"/>
      <c r="E41" s="68"/>
      <c r="F41" s="76">
        <f>F40+B34</f>
        <v>-711.1500000000015</v>
      </c>
    </row>
    <row r="42" spans="1:6" s="40" customFormat="1" ht="21">
      <c r="A42" s="56">
        <v>3</v>
      </c>
      <c r="B42" s="44" t="s">
        <v>22</v>
      </c>
      <c r="C42" s="207"/>
      <c r="D42" s="207"/>
      <c r="E42" s="58"/>
      <c r="F42" s="15"/>
    </row>
    <row r="43" spans="1:6" s="40" customFormat="1" ht="21">
      <c r="A43" s="193"/>
      <c r="B43" s="194"/>
      <c r="C43" s="204"/>
      <c r="D43" s="204"/>
      <c r="E43" s="58"/>
      <c r="F43" s="15"/>
    </row>
    <row r="44" spans="1:6" s="40" customFormat="1" ht="21">
      <c r="A44" s="194"/>
      <c r="B44" s="194"/>
      <c r="C44" s="164"/>
      <c r="D44" s="164"/>
      <c r="E44" s="58"/>
      <c r="F44" s="15"/>
    </row>
    <row r="45" spans="1:6" s="40" customFormat="1" ht="21">
      <c r="A45" s="79"/>
      <c r="B45" s="79"/>
      <c r="C45" s="79"/>
      <c r="D45" s="80"/>
      <c r="E45" s="77"/>
      <c r="F45" s="50"/>
    </row>
    <row r="46" spans="1:8" s="40" customFormat="1" ht="61.5">
      <c r="A46" s="41" t="s">
        <v>11</v>
      </c>
      <c r="B46" s="41" t="s">
        <v>50</v>
      </c>
      <c r="C46" s="41" t="s">
        <v>180</v>
      </c>
      <c r="D46" s="41" t="s">
        <v>114</v>
      </c>
      <c r="E46" s="41" t="s">
        <v>181</v>
      </c>
      <c r="F46" s="41" t="s">
        <v>170</v>
      </c>
      <c r="G46" s="41" t="s">
        <v>168</v>
      </c>
      <c r="H46" s="41" t="s">
        <v>49</v>
      </c>
    </row>
    <row r="47" spans="1:8" s="40" customFormat="1" ht="21">
      <c r="A47" s="15">
        <v>2</v>
      </c>
      <c r="B47" s="15" t="s">
        <v>94</v>
      </c>
      <c r="C47" s="83">
        <v>16836.38</v>
      </c>
      <c r="D47" s="83">
        <v>16841.97</v>
      </c>
      <c r="E47" s="83">
        <v>19707.84</v>
      </c>
      <c r="F47" s="83">
        <v>25053.52</v>
      </c>
      <c r="G47" s="82">
        <f>D47+E47-F47</f>
        <v>11496.289999999997</v>
      </c>
      <c r="H47" s="82">
        <f>C47-E47</f>
        <v>-2871.459999999999</v>
      </c>
    </row>
    <row r="48" spans="1:8" s="40" customFormat="1" ht="21">
      <c r="A48" s="15">
        <v>3</v>
      </c>
      <c r="B48" s="15" t="s">
        <v>95</v>
      </c>
      <c r="C48" s="83">
        <v>20796.54</v>
      </c>
      <c r="D48" s="83">
        <v>1483.95</v>
      </c>
      <c r="E48" s="83">
        <v>9289.86</v>
      </c>
      <c r="F48" s="83">
        <v>8310.36</v>
      </c>
      <c r="G48" s="82">
        <f>D48+E48-F48</f>
        <v>2463.4500000000007</v>
      </c>
      <c r="H48" s="82">
        <f>C48-E48</f>
        <v>11506.68</v>
      </c>
    </row>
    <row r="49" s="66" customFormat="1" ht="21">
      <c r="A49" s="40"/>
    </row>
    <row r="50" spans="1:8" s="40" customFormat="1" ht="61.5">
      <c r="A50" s="41" t="s">
        <v>11</v>
      </c>
      <c r="B50" s="41" t="s">
        <v>50</v>
      </c>
      <c r="C50" s="41" t="s">
        <v>118</v>
      </c>
      <c r="D50" s="41" t="s">
        <v>114</v>
      </c>
      <c r="E50" s="41" t="s">
        <v>181</v>
      </c>
      <c r="F50" s="41" t="s">
        <v>170</v>
      </c>
      <c r="G50" s="41" t="s">
        <v>114</v>
      </c>
      <c r="H50" s="41" t="s">
        <v>49</v>
      </c>
    </row>
    <row r="51" spans="1:8" s="40" customFormat="1" ht="21">
      <c r="A51" s="15">
        <v>1</v>
      </c>
      <c r="B51" s="15" t="s">
        <v>93</v>
      </c>
      <c r="C51" s="15">
        <v>1417.53</v>
      </c>
      <c r="D51" s="15">
        <v>3791.95</v>
      </c>
      <c r="E51" s="82"/>
      <c r="F51" s="15">
        <v>586.44</v>
      </c>
      <c r="G51" s="82">
        <f>D51+E51-F51</f>
        <v>3205.5099999999998</v>
      </c>
      <c r="H51" s="82">
        <f>C51-E51</f>
        <v>1417.53</v>
      </c>
    </row>
    <row r="52" s="66" customFormat="1" ht="21">
      <c r="A52" s="40"/>
    </row>
    <row r="53" spans="1:8" s="66" customFormat="1" ht="21">
      <c r="A53" s="40"/>
      <c r="H53" s="147"/>
    </row>
    <row r="54" s="66" customFormat="1" ht="21">
      <c r="A54" s="40"/>
    </row>
    <row r="55" s="66" customFormat="1" ht="21">
      <c r="A55" s="40"/>
    </row>
    <row r="56" spans="2:4" s="64" customFormat="1" ht="26.25">
      <c r="B56" s="35" t="s">
        <v>106</v>
      </c>
      <c r="C56" s="35"/>
      <c r="D56" s="37"/>
    </row>
    <row r="57" spans="2:3" ht="26.25">
      <c r="B57" s="35" t="s">
        <v>107</v>
      </c>
      <c r="C57" s="35"/>
    </row>
    <row r="59" ht="15">
      <c r="F59" s="132">
        <f>F51+F48+F47+E25</f>
        <v>485424.62000000005</v>
      </c>
    </row>
    <row r="60" ht="15">
      <c r="F60" s="37">
        <v>1000</v>
      </c>
    </row>
    <row r="61" ht="15">
      <c r="F61" s="132">
        <f>SUM(F59:F60)</f>
        <v>486424.62000000005</v>
      </c>
    </row>
  </sheetData>
  <sheetProtection/>
  <mergeCells count="23">
    <mergeCell ref="A13:F13"/>
    <mergeCell ref="A19:F19"/>
    <mergeCell ref="A43:A44"/>
    <mergeCell ref="B43:B44"/>
    <mergeCell ref="B35:B39"/>
    <mergeCell ref="A35:A39"/>
    <mergeCell ref="C36:D36"/>
    <mergeCell ref="C35:D35"/>
    <mergeCell ref="A29:F29"/>
    <mergeCell ref="A30:D30"/>
    <mergeCell ref="A31:D31"/>
    <mergeCell ref="A32:F32"/>
    <mergeCell ref="A33:B33"/>
    <mergeCell ref="C33:E33"/>
    <mergeCell ref="C34:D34"/>
    <mergeCell ref="C37:D37"/>
    <mergeCell ref="C38:D38"/>
    <mergeCell ref="C39:D39"/>
    <mergeCell ref="C42:D42"/>
    <mergeCell ref="C43:D43"/>
    <mergeCell ref="C44:D44"/>
    <mergeCell ref="C40:D40"/>
    <mergeCell ref="C41:D41"/>
  </mergeCells>
  <printOptions/>
  <pageMargins left="0.25" right="0.25" top="0.75" bottom="0.75" header="0.3" footer="0.3"/>
  <pageSetup horizontalDpi="600" verticalDpi="600" orientation="landscape" paperSize="9" scale="47" r:id="rId2"/>
  <rowBreaks count="1" manualBreakCount="1">
    <brk id="31" max="8" man="1"/>
  </rowBreaks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C1:J51"/>
  <sheetViews>
    <sheetView view="pageBreakPreview" zoomScale="73" zoomScaleSheetLayoutView="73" zoomScalePageLayoutView="0" workbookViewId="0" topLeftCell="A35">
      <selection activeCell="C41" sqref="C41:J41"/>
    </sheetView>
  </sheetViews>
  <sheetFormatPr defaultColWidth="9.140625" defaultRowHeight="15"/>
  <cols>
    <col min="1" max="2" width="9.140625" style="37" customWidth="1"/>
    <col min="3" max="3" width="9.00390625" style="37" customWidth="1"/>
    <col min="4" max="5" width="37.8515625" style="37" customWidth="1"/>
    <col min="6" max="6" width="48.57421875" style="37" customWidth="1"/>
    <col min="7" max="7" width="34.140625" style="37" customWidth="1"/>
    <col min="8" max="8" width="30.421875" style="37" customWidth="1"/>
    <col min="9" max="9" width="24.421875" style="37" customWidth="1"/>
    <col min="10" max="10" width="20.7109375" style="37" customWidth="1"/>
    <col min="11" max="11" width="23.00390625" style="37" customWidth="1"/>
    <col min="12" max="16384" width="9.140625" style="37" customWidth="1"/>
  </cols>
  <sheetData>
    <row r="1" spans="4:7" s="35" customFormat="1" ht="28.5">
      <c r="D1" s="36" t="s">
        <v>24</v>
      </c>
      <c r="E1" s="36"/>
      <c r="F1" s="36"/>
      <c r="G1" s="36"/>
    </row>
    <row r="2" spans="4:7" s="35" customFormat="1" ht="28.5">
      <c r="D2" s="36" t="s">
        <v>25</v>
      </c>
      <c r="E2" s="36"/>
      <c r="F2" s="36"/>
      <c r="G2" s="36"/>
    </row>
    <row r="3" spans="4:8" ht="18.75">
      <c r="D3" s="38" t="s">
        <v>26</v>
      </c>
      <c r="E3" s="38"/>
      <c r="F3" s="38"/>
      <c r="G3" s="38"/>
      <c r="H3" s="39"/>
    </row>
    <row r="4" spans="4:8" ht="18.75">
      <c r="D4" s="38" t="s">
        <v>27</v>
      </c>
      <c r="E4" s="38"/>
      <c r="F4" s="38"/>
      <c r="G4" s="38"/>
      <c r="H4" s="39"/>
    </row>
    <row r="5" spans="4:8" ht="15">
      <c r="D5" s="39"/>
      <c r="E5" s="39"/>
      <c r="F5" s="39"/>
      <c r="G5" s="39"/>
      <c r="H5" s="39"/>
    </row>
    <row r="6" spans="4:7" s="40" customFormat="1" ht="26.25">
      <c r="D6" s="35" t="s">
        <v>28</v>
      </c>
      <c r="E6" s="35"/>
      <c r="F6" s="35"/>
      <c r="G6" s="35"/>
    </row>
    <row r="7" spans="4:7" s="40" customFormat="1" ht="26.25">
      <c r="D7" s="35" t="s">
        <v>69</v>
      </c>
      <c r="E7" s="35"/>
      <c r="F7" s="35"/>
      <c r="G7" s="35"/>
    </row>
    <row r="8" spans="4:7" s="40" customFormat="1" ht="26.25">
      <c r="D8" s="35" t="s">
        <v>125</v>
      </c>
      <c r="E8" s="35"/>
      <c r="F8" s="35"/>
      <c r="G8" s="35"/>
    </row>
    <row r="9" spans="4:8" ht="15">
      <c r="D9" s="39"/>
      <c r="E9" s="39"/>
      <c r="F9" s="39"/>
      <c r="G9" s="39"/>
      <c r="H9" s="39"/>
    </row>
    <row r="10" spans="3:8" ht="21">
      <c r="C10" s="40" t="s">
        <v>70</v>
      </c>
      <c r="D10" s="39"/>
      <c r="E10" s="39"/>
      <c r="F10" s="39"/>
      <c r="G10" s="39"/>
      <c r="H10" s="39"/>
    </row>
    <row r="11" s="40" customFormat="1" ht="34.5" customHeight="1">
      <c r="H11" s="53" t="s">
        <v>18</v>
      </c>
    </row>
    <row r="12" spans="3:8" s="42" customFormat="1" ht="40.5">
      <c r="C12" s="41" t="s">
        <v>11</v>
      </c>
      <c r="D12" s="41" t="s">
        <v>12</v>
      </c>
      <c r="E12" s="41" t="s">
        <v>114</v>
      </c>
      <c r="F12" s="41" t="s">
        <v>13</v>
      </c>
      <c r="G12" s="41" t="s">
        <v>14</v>
      </c>
      <c r="H12" s="41" t="s">
        <v>10</v>
      </c>
    </row>
    <row r="13" spans="3:8" s="40" customFormat="1" ht="21">
      <c r="C13" s="181" t="s">
        <v>15</v>
      </c>
      <c r="D13" s="182"/>
      <c r="E13" s="182"/>
      <c r="F13" s="182"/>
      <c r="G13" s="182"/>
      <c r="H13" s="183"/>
    </row>
    <row r="14" spans="3:8" s="40" customFormat="1" ht="21">
      <c r="C14" s="15">
        <v>1</v>
      </c>
      <c r="D14" s="15" t="s">
        <v>16</v>
      </c>
      <c r="E14" s="43">
        <v>3347.31</v>
      </c>
      <c r="F14" s="43">
        <v>40424.64</v>
      </c>
      <c r="G14" s="43">
        <v>38729.44</v>
      </c>
      <c r="H14" s="43">
        <f>E14+F14-G14</f>
        <v>5042.509999999995</v>
      </c>
    </row>
    <row r="15" spans="3:8" s="40" customFormat="1" ht="21">
      <c r="C15" s="15">
        <v>2</v>
      </c>
      <c r="D15" s="15" t="s">
        <v>17</v>
      </c>
      <c r="E15" s="43">
        <v>950.98</v>
      </c>
      <c r="F15" s="43">
        <v>11484.6</v>
      </c>
      <c r="G15" s="43">
        <v>11003.01</v>
      </c>
      <c r="H15" s="43">
        <f>E15+F15-G15</f>
        <v>1432.5699999999997</v>
      </c>
    </row>
    <row r="16" spans="3:8" s="40" customFormat="1" ht="41.25">
      <c r="C16" s="15"/>
      <c r="D16" s="44" t="s">
        <v>0</v>
      </c>
      <c r="E16" s="45">
        <f>SUM(E14:E15)</f>
        <v>4298.29</v>
      </c>
      <c r="F16" s="45">
        <f>SUM(F14:F15)</f>
        <v>51909.24</v>
      </c>
      <c r="G16" s="45">
        <f>SUM(G14:G15)</f>
        <v>49732.450000000004</v>
      </c>
      <c r="H16" s="45">
        <f>SUM(H14:H15)</f>
        <v>6475.0799999999945</v>
      </c>
    </row>
    <row r="17" spans="3:8" s="40" customFormat="1" ht="21">
      <c r="C17" s="181" t="s">
        <v>19</v>
      </c>
      <c r="D17" s="182"/>
      <c r="E17" s="182"/>
      <c r="F17" s="182"/>
      <c r="G17" s="182"/>
      <c r="H17" s="183"/>
    </row>
    <row r="18" spans="3:8" s="40" customFormat="1" ht="21">
      <c r="C18" s="15">
        <v>3</v>
      </c>
      <c r="D18" s="15" t="s">
        <v>1</v>
      </c>
      <c r="E18" s="43">
        <v>11615.91</v>
      </c>
      <c r="F18" s="47">
        <v>175727.83</v>
      </c>
      <c r="G18" s="47">
        <v>141174.3</v>
      </c>
      <c r="H18" s="47">
        <f>E18+F18-G18</f>
        <v>46169.44</v>
      </c>
    </row>
    <row r="19" spans="3:8" s="40" customFormat="1" ht="21">
      <c r="C19" s="15">
        <v>4</v>
      </c>
      <c r="D19" s="48" t="s">
        <v>2</v>
      </c>
      <c r="E19" s="49">
        <v>2768.86</v>
      </c>
      <c r="F19" s="47">
        <v>35255.77</v>
      </c>
      <c r="G19" s="47">
        <v>33871.89</v>
      </c>
      <c r="H19" s="47">
        <f>E19+F19-G19</f>
        <v>4152.739999999998</v>
      </c>
    </row>
    <row r="20" spans="3:8" s="40" customFormat="1" ht="21" hidden="1">
      <c r="C20" s="15">
        <v>5</v>
      </c>
      <c r="D20" s="48" t="s">
        <v>7</v>
      </c>
      <c r="E20" s="49"/>
      <c r="F20" s="47"/>
      <c r="G20" s="47"/>
      <c r="H20" s="47">
        <f>E20+F20-G20</f>
        <v>0</v>
      </c>
    </row>
    <row r="21" spans="3:8" s="40" customFormat="1" ht="21">
      <c r="C21" s="15">
        <v>5</v>
      </c>
      <c r="D21" s="48" t="s">
        <v>3</v>
      </c>
      <c r="E21" s="49">
        <v>1748.98</v>
      </c>
      <c r="F21" s="47">
        <v>21187.53</v>
      </c>
      <c r="G21" s="47">
        <v>20493.97</v>
      </c>
      <c r="H21" s="47">
        <f>E21+F21-G21</f>
        <v>2442.5399999999972</v>
      </c>
    </row>
    <row r="22" spans="3:8" s="40" customFormat="1" ht="41.25" hidden="1">
      <c r="C22" s="15">
        <v>7</v>
      </c>
      <c r="D22" s="48" t="s">
        <v>4</v>
      </c>
      <c r="E22" s="49"/>
      <c r="F22" s="47"/>
      <c r="G22" s="47"/>
      <c r="H22" s="47">
        <f>F22-G22</f>
        <v>0</v>
      </c>
    </row>
    <row r="23" spans="3:8" s="40" customFormat="1" ht="41.25">
      <c r="C23" s="15"/>
      <c r="D23" s="44" t="s">
        <v>5</v>
      </c>
      <c r="E23" s="45">
        <f>SUM(E18:E22)</f>
        <v>16133.75</v>
      </c>
      <c r="F23" s="45">
        <f>SUM(F18:F22)</f>
        <v>232171.12999999998</v>
      </c>
      <c r="G23" s="45">
        <f>SUM(G18:G22)</f>
        <v>195540.16</v>
      </c>
      <c r="H23" s="45">
        <f>SUM(H18:H22)</f>
        <v>52764.72</v>
      </c>
    </row>
    <row r="24" spans="3:8" s="40" customFormat="1" ht="41.25">
      <c r="C24" s="15"/>
      <c r="D24" s="44" t="s">
        <v>6</v>
      </c>
      <c r="E24" s="45">
        <f>E16+E23</f>
        <v>20432.04</v>
      </c>
      <c r="F24" s="45">
        <f>F16+F23</f>
        <v>284080.37</v>
      </c>
      <c r="G24" s="45">
        <f>G16+G23</f>
        <v>245272.61000000002</v>
      </c>
      <c r="H24" s="45">
        <f>H16+H23</f>
        <v>59239.799999999996</v>
      </c>
    </row>
    <row r="25" spans="3:9" s="40" customFormat="1" ht="21">
      <c r="C25" s="50"/>
      <c r="D25" s="51"/>
      <c r="E25" s="51"/>
      <c r="F25" s="52"/>
      <c r="G25" s="52"/>
      <c r="H25" s="52"/>
      <c r="I25" s="78"/>
    </row>
    <row r="26" spans="7:8" s="40" customFormat="1" ht="21">
      <c r="G26" s="53"/>
      <c r="H26" s="53" t="s">
        <v>20</v>
      </c>
    </row>
    <row r="27" spans="3:8" s="40" customFormat="1" ht="25.5">
      <c r="C27" s="170" t="s">
        <v>120</v>
      </c>
      <c r="D27" s="171"/>
      <c r="E27" s="171"/>
      <c r="F27" s="171"/>
      <c r="G27" s="171"/>
      <c r="H27" s="172"/>
    </row>
    <row r="28" spans="3:8" s="40" customFormat="1" ht="63">
      <c r="C28" s="184" t="s">
        <v>121</v>
      </c>
      <c r="D28" s="185"/>
      <c r="E28" s="185"/>
      <c r="F28" s="186"/>
      <c r="G28" s="41" t="s">
        <v>21</v>
      </c>
      <c r="H28" s="54" t="s">
        <v>126</v>
      </c>
    </row>
    <row r="29" spans="3:8" s="40" customFormat="1" ht="179.25" customHeight="1">
      <c r="C29" s="201" t="s">
        <v>123</v>
      </c>
      <c r="D29" s="202"/>
      <c r="E29" s="202"/>
      <c r="F29" s="203"/>
      <c r="G29" s="57">
        <f>F14</f>
        <v>40424.64</v>
      </c>
      <c r="H29" s="57">
        <f>H14</f>
        <v>5042.509999999995</v>
      </c>
    </row>
    <row r="30" spans="3:8" s="40" customFormat="1" ht="25.5">
      <c r="C30" s="170" t="s">
        <v>119</v>
      </c>
      <c r="D30" s="171"/>
      <c r="E30" s="171"/>
      <c r="F30" s="171"/>
      <c r="G30" s="171"/>
      <c r="H30" s="172"/>
    </row>
    <row r="31" spans="3:8" s="40" customFormat="1" ht="63">
      <c r="C31" s="196" t="s">
        <v>132</v>
      </c>
      <c r="D31" s="197"/>
      <c r="E31" s="178" t="s">
        <v>121</v>
      </c>
      <c r="F31" s="179"/>
      <c r="G31" s="180"/>
      <c r="H31" s="89" t="s">
        <v>128</v>
      </c>
    </row>
    <row r="32" spans="3:8" s="40" customFormat="1" ht="21">
      <c r="C32" s="103"/>
      <c r="D32" s="104">
        <v>-3857.76</v>
      </c>
      <c r="E32" s="252"/>
      <c r="F32" s="253"/>
      <c r="G32" s="49"/>
      <c r="H32" s="43"/>
    </row>
    <row r="33" spans="3:8" s="40" customFormat="1" ht="21">
      <c r="C33" s="98"/>
      <c r="D33" s="105"/>
      <c r="E33" s="252"/>
      <c r="F33" s="253"/>
      <c r="G33" s="49"/>
      <c r="H33" s="43"/>
    </row>
    <row r="34" spans="3:8" s="40" customFormat="1" ht="21">
      <c r="C34" s="98"/>
      <c r="D34" s="105"/>
      <c r="E34" s="260"/>
      <c r="F34" s="261"/>
      <c r="G34" s="49"/>
      <c r="H34" s="43"/>
    </row>
    <row r="35" spans="3:8" s="40" customFormat="1" ht="21">
      <c r="C35" s="98"/>
      <c r="D35" s="106"/>
      <c r="E35" s="250" t="s">
        <v>140</v>
      </c>
      <c r="F35" s="251"/>
      <c r="G35" s="68">
        <f>SUM(G32:G34)</f>
        <v>0</v>
      </c>
      <c r="H35" s="76">
        <f>G15-G35</f>
        <v>11003.01</v>
      </c>
    </row>
    <row r="36" spans="3:8" s="40" customFormat="1" ht="21">
      <c r="C36" s="99"/>
      <c r="D36" s="107"/>
      <c r="E36" s="250" t="s">
        <v>141</v>
      </c>
      <c r="F36" s="251"/>
      <c r="G36" s="68"/>
      <c r="H36" s="76">
        <f>D32+H35</f>
        <v>7145.25</v>
      </c>
    </row>
    <row r="37" spans="3:8" s="40" customFormat="1" ht="21">
      <c r="C37" s="56">
        <v>3</v>
      </c>
      <c r="D37" s="44" t="s">
        <v>22</v>
      </c>
      <c r="E37" s="207"/>
      <c r="F37" s="207"/>
      <c r="G37" s="58"/>
      <c r="H37" s="15"/>
    </row>
    <row r="38" spans="3:8" s="40" customFormat="1" ht="21">
      <c r="C38" s="193"/>
      <c r="D38" s="194"/>
      <c r="E38" s="259"/>
      <c r="F38" s="259"/>
      <c r="G38" s="58"/>
      <c r="H38" s="15"/>
    </row>
    <row r="39" spans="3:8" s="40" customFormat="1" ht="21">
      <c r="C39" s="194"/>
      <c r="D39" s="194"/>
      <c r="E39" s="164"/>
      <c r="F39" s="164"/>
      <c r="G39" s="58"/>
      <c r="H39" s="15"/>
    </row>
    <row r="40" spans="3:9" s="40" customFormat="1" ht="21">
      <c r="C40" s="120"/>
      <c r="D40" s="120"/>
      <c r="E40" s="120"/>
      <c r="F40" s="121"/>
      <c r="G40" s="95"/>
      <c r="H40" s="122"/>
      <c r="I40" s="53" t="s">
        <v>47</v>
      </c>
    </row>
    <row r="41" spans="3:10" s="66" customFormat="1" ht="60.75">
      <c r="C41" s="41" t="s">
        <v>11</v>
      </c>
      <c r="D41" s="41" t="s">
        <v>50</v>
      </c>
      <c r="E41" s="41" t="s">
        <v>180</v>
      </c>
      <c r="F41" s="41" t="s">
        <v>114</v>
      </c>
      <c r="G41" s="41" t="s">
        <v>181</v>
      </c>
      <c r="H41" s="41" t="s">
        <v>170</v>
      </c>
      <c r="I41" s="41" t="s">
        <v>168</v>
      </c>
      <c r="J41" s="41" t="s">
        <v>49</v>
      </c>
    </row>
    <row r="42" spans="3:10" s="64" customFormat="1" ht="21">
      <c r="C42" s="15">
        <v>1</v>
      </c>
      <c r="D42" s="15" t="s">
        <v>91</v>
      </c>
      <c r="E42" s="43">
        <v>20274.71</v>
      </c>
      <c r="F42" s="43">
        <v>2890.87</v>
      </c>
      <c r="G42" s="43">
        <v>17456.16</v>
      </c>
      <c r="H42" s="65">
        <v>22954.93</v>
      </c>
      <c r="I42" s="43">
        <f>F42+G42-H42</f>
        <v>-2607.9000000000015</v>
      </c>
      <c r="J42" s="146">
        <f>E42-G42</f>
        <v>2818.5499999999993</v>
      </c>
    </row>
    <row r="45" spans="4:5" ht="26.25">
      <c r="D45" s="35" t="s">
        <v>106</v>
      </c>
      <c r="E45" s="35"/>
    </row>
    <row r="46" spans="4:5" ht="26.25">
      <c r="D46" s="35" t="s">
        <v>107</v>
      </c>
      <c r="E46" s="35"/>
    </row>
    <row r="48" ht="15">
      <c r="H48" s="132">
        <f>H42+G24</f>
        <v>268227.54000000004</v>
      </c>
    </row>
    <row r="49" ht="15">
      <c r="H49" s="37">
        <v>13173</v>
      </c>
    </row>
    <row r="50" ht="15">
      <c r="H50" s="37">
        <v>19496.36</v>
      </c>
    </row>
    <row r="51" ht="15">
      <c r="H51" s="132">
        <f>SUM(H48:H50)</f>
        <v>300896.9</v>
      </c>
    </row>
  </sheetData>
  <sheetProtection/>
  <mergeCells count="18">
    <mergeCell ref="C13:H13"/>
    <mergeCell ref="C17:H17"/>
    <mergeCell ref="C38:C39"/>
    <mergeCell ref="D38:D39"/>
    <mergeCell ref="E34:F34"/>
    <mergeCell ref="E33:F33"/>
    <mergeCell ref="C27:H27"/>
    <mergeCell ref="C28:F28"/>
    <mergeCell ref="C29:F29"/>
    <mergeCell ref="C30:H30"/>
    <mergeCell ref="C31:D31"/>
    <mergeCell ref="E31:G31"/>
    <mergeCell ref="E32:F32"/>
    <mergeCell ref="E35:F35"/>
    <mergeCell ref="E37:F37"/>
    <mergeCell ref="E38:F38"/>
    <mergeCell ref="E39:F39"/>
    <mergeCell ref="E36:F36"/>
  </mergeCells>
  <printOptions/>
  <pageMargins left="0.25" right="0.25" top="0.75" bottom="0.75" header="0.3" footer="0.3"/>
  <pageSetup horizontalDpi="600" verticalDpi="600" orientation="landscape" paperSize="9" scale="50" r:id="rId2"/>
  <rowBreaks count="1" manualBreakCount="1">
    <brk id="29" min="2" max="9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5"/>
  <sheetViews>
    <sheetView view="pageBreakPreview" zoomScale="73" zoomScaleSheetLayoutView="73" zoomScalePageLayoutView="0" workbookViewId="0" topLeftCell="A44">
      <selection activeCell="A52" sqref="A52:F54"/>
    </sheetView>
  </sheetViews>
  <sheetFormatPr defaultColWidth="9.140625" defaultRowHeight="15"/>
  <cols>
    <col min="1" max="1" width="9.00390625" style="37" customWidth="1"/>
    <col min="2" max="2" width="45.28125" style="37" customWidth="1"/>
    <col min="3" max="3" width="37.8515625" style="37" customWidth="1"/>
    <col min="4" max="4" width="44.421875" style="37" customWidth="1"/>
    <col min="5" max="5" width="34.140625" style="37" customWidth="1"/>
    <col min="6" max="6" width="31.7109375" style="37" customWidth="1"/>
    <col min="7" max="16384" width="9.140625" style="37" customWidth="1"/>
  </cols>
  <sheetData>
    <row r="1" spans="2:5" s="35" customFormat="1" ht="28.5">
      <c r="B1" s="36" t="s">
        <v>24</v>
      </c>
      <c r="C1" s="36"/>
      <c r="D1" s="36"/>
      <c r="E1" s="36"/>
    </row>
    <row r="2" spans="2:5" s="35" customFormat="1" ht="28.5">
      <c r="B2" s="36" t="s">
        <v>25</v>
      </c>
      <c r="C2" s="36"/>
      <c r="D2" s="36"/>
      <c r="E2" s="36"/>
    </row>
    <row r="3" spans="2:6" ht="18.75">
      <c r="B3" s="38" t="s">
        <v>26</v>
      </c>
      <c r="C3" s="38"/>
      <c r="D3" s="38"/>
      <c r="E3" s="38"/>
      <c r="F3" s="39"/>
    </row>
    <row r="4" spans="2:6" ht="18.75">
      <c r="B4" s="38" t="s">
        <v>27</v>
      </c>
      <c r="C4" s="38"/>
      <c r="D4" s="38"/>
      <c r="E4" s="38"/>
      <c r="F4" s="39"/>
    </row>
    <row r="5" spans="2:6" ht="15">
      <c r="B5" s="39"/>
      <c r="C5" s="39"/>
      <c r="D5" s="39"/>
      <c r="E5" s="39"/>
      <c r="F5" s="39"/>
    </row>
    <row r="6" spans="2:5" s="40" customFormat="1" ht="26.25">
      <c r="B6" s="35" t="s">
        <v>28</v>
      </c>
      <c r="C6" s="35"/>
      <c r="D6" s="35"/>
      <c r="E6" s="35"/>
    </row>
    <row r="7" spans="2:5" s="40" customFormat="1" ht="26.25">
      <c r="B7" s="35" t="s">
        <v>33</v>
      </c>
      <c r="C7" s="35"/>
      <c r="D7" s="35"/>
      <c r="E7" s="35"/>
    </row>
    <row r="8" spans="2:5" s="40" customFormat="1" ht="26.25">
      <c r="B8" s="35" t="s">
        <v>125</v>
      </c>
      <c r="C8" s="35"/>
      <c r="D8" s="35"/>
      <c r="E8" s="35"/>
    </row>
    <row r="9" spans="2:6" ht="15">
      <c r="B9" s="39"/>
      <c r="C9" s="39"/>
      <c r="D9" s="39"/>
      <c r="E9" s="39"/>
      <c r="F9" s="39"/>
    </row>
    <row r="10" spans="1:6" ht="21">
      <c r="A10" s="40" t="s">
        <v>30</v>
      </c>
      <c r="B10" s="39"/>
      <c r="C10" s="39"/>
      <c r="D10" s="39"/>
      <c r="E10" s="39"/>
      <c r="F10" s="39"/>
    </row>
    <row r="11" s="40" customFormat="1" ht="34.5" customHeight="1">
      <c r="F11" s="53" t="s">
        <v>18</v>
      </c>
    </row>
    <row r="12" spans="1:6" s="42" customFormat="1" ht="40.5">
      <c r="A12" s="41" t="s">
        <v>11</v>
      </c>
      <c r="B12" s="41" t="s">
        <v>12</v>
      </c>
      <c r="C12" s="41" t="s">
        <v>114</v>
      </c>
      <c r="D12" s="41" t="s">
        <v>13</v>
      </c>
      <c r="E12" s="41" t="s">
        <v>14</v>
      </c>
      <c r="F12" s="41" t="s">
        <v>10</v>
      </c>
    </row>
    <row r="13" spans="1:6" s="40" customFormat="1" ht="21">
      <c r="A13" s="181" t="s">
        <v>15</v>
      </c>
      <c r="B13" s="182"/>
      <c r="C13" s="182"/>
      <c r="D13" s="182"/>
      <c r="E13" s="182"/>
      <c r="F13" s="183"/>
    </row>
    <row r="14" spans="1:6" s="40" customFormat="1" ht="21">
      <c r="A14" s="15">
        <v>1</v>
      </c>
      <c r="B14" s="15" t="s">
        <v>16</v>
      </c>
      <c r="C14" s="43">
        <v>69950.9</v>
      </c>
      <c r="D14" s="43">
        <v>588165.59</v>
      </c>
      <c r="E14" s="43">
        <v>465598.1</v>
      </c>
      <c r="F14" s="43">
        <f>C14+D14-E14</f>
        <v>192518.39</v>
      </c>
    </row>
    <row r="15" spans="1:6" s="40" customFormat="1" ht="21">
      <c r="A15" s="15">
        <v>2</v>
      </c>
      <c r="B15" s="15" t="s">
        <v>17</v>
      </c>
      <c r="C15" s="43">
        <v>-385.11</v>
      </c>
      <c r="D15" s="43">
        <v>130839.02</v>
      </c>
      <c r="E15" s="43">
        <v>123530.42</v>
      </c>
      <c r="F15" s="43">
        <f>C15+D15-E15</f>
        <v>6923.490000000005</v>
      </c>
    </row>
    <row r="16" spans="1:6" s="40" customFormat="1" ht="21" hidden="1">
      <c r="A16" s="15"/>
      <c r="B16" s="67" t="s">
        <v>116</v>
      </c>
      <c r="C16" s="43"/>
      <c r="D16" s="43"/>
      <c r="E16" s="43"/>
      <c r="F16" s="43">
        <f>C16+D16-E16</f>
        <v>0</v>
      </c>
    </row>
    <row r="17" spans="1:6" s="40" customFormat="1" ht="21">
      <c r="A17" s="15">
        <v>3</v>
      </c>
      <c r="B17" s="67" t="s">
        <v>124</v>
      </c>
      <c r="C17" s="43"/>
      <c r="D17" s="43">
        <v>30900</v>
      </c>
      <c r="E17" s="43">
        <v>23093.93</v>
      </c>
      <c r="F17" s="43">
        <f>C17+D17-E17</f>
        <v>7806.07</v>
      </c>
    </row>
    <row r="18" spans="1:6" s="40" customFormat="1" ht="41.25" customHeight="1">
      <c r="A18" s="15"/>
      <c r="B18" s="44" t="s">
        <v>0</v>
      </c>
      <c r="C18" s="45">
        <f>SUM(C14:C17)</f>
        <v>69565.79</v>
      </c>
      <c r="D18" s="45">
        <f>SUM(D14:D17)</f>
        <v>749904.61</v>
      </c>
      <c r="E18" s="45">
        <f>SUM(E14:E17)</f>
        <v>612222.4500000001</v>
      </c>
      <c r="F18" s="45">
        <f>SUM(F14:F17)</f>
        <v>207247.95</v>
      </c>
    </row>
    <row r="19" spans="1:6" s="40" customFormat="1" ht="21">
      <c r="A19" s="181" t="s">
        <v>19</v>
      </c>
      <c r="B19" s="182"/>
      <c r="C19" s="182"/>
      <c r="D19" s="182"/>
      <c r="E19" s="182"/>
      <c r="F19" s="183"/>
    </row>
    <row r="20" spans="1:6" s="40" customFormat="1" ht="21">
      <c r="A20" s="15">
        <v>3</v>
      </c>
      <c r="B20" s="15" t="s">
        <v>1</v>
      </c>
      <c r="C20" s="43">
        <v>130307.19</v>
      </c>
      <c r="D20" s="47">
        <f>844457.07+14550.49</f>
        <v>859007.5599999999</v>
      </c>
      <c r="E20" s="47">
        <v>682485.84</v>
      </c>
      <c r="F20" s="47">
        <f>C20+D20-E20</f>
        <v>306828.91000000003</v>
      </c>
    </row>
    <row r="21" spans="1:6" s="40" customFormat="1" ht="21">
      <c r="A21" s="15">
        <v>4</v>
      </c>
      <c r="B21" s="48" t="s">
        <v>2</v>
      </c>
      <c r="C21" s="49">
        <v>18269.3</v>
      </c>
      <c r="D21" s="47">
        <v>131108.66</v>
      </c>
      <c r="E21" s="47">
        <v>123463.27</v>
      </c>
      <c r="F21" s="47">
        <f>C21+D21-E21</f>
        <v>25914.689999999988</v>
      </c>
    </row>
    <row r="22" spans="1:6" s="40" customFormat="1" ht="21">
      <c r="A22" s="15">
        <v>5</v>
      </c>
      <c r="B22" s="48" t="s">
        <v>7</v>
      </c>
      <c r="C22" s="49">
        <v>60069.01</v>
      </c>
      <c r="D22" s="47">
        <v>417002.45</v>
      </c>
      <c r="E22" s="47">
        <v>325504.24</v>
      </c>
      <c r="F22" s="47">
        <f>C22+D22-E22</f>
        <v>151567.22000000003</v>
      </c>
    </row>
    <row r="23" spans="1:6" s="40" customFormat="1" ht="21">
      <c r="A23" s="15">
        <v>6</v>
      </c>
      <c r="B23" s="48" t="s">
        <v>3</v>
      </c>
      <c r="C23" s="49">
        <v>18255.92</v>
      </c>
      <c r="D23" s="47">
        <v>127023.28</v>
      </c>
      <c r="E23" s="47">
        <v>120311.41</v>
      </c>
      <c r="F23" s="47">
        <f>C23+D23-E23</f>
        <v>24967.790000000008</v>
      </c>
    </row>
    <row r="24" spans="1:6" s="40" customFormat="1" ht="21">
      <c r="A24" s="15">
        <v>7</v>
      </c>
      <c r="B24" s="48" t="s">
        <v>4</v>
      </c>
      <c r="C24" s="49">
        <v>31808.83</v>
      </c>
      <c r="D24" s="47">
        <f>268589.12+37771.98</f>
        <v>306361.1</v>
      </c>
      <c r="E24" s="47">
        <f>26202.89+1934.21+213569.47+33142.54</f>
        <v>274849.11</v>
      </c>
      <c r="F24" s="47">
        <f>C24+D24-E24</f>
        <v>63320.82000000001</v>
      </c>
    </row>
    <row r="25" spans="1:6" s="40" customFormat="1" ht="41.25">
      <c r="A25" s="15"/>
      <c r="B25" s="44" t="s">
        <v>5</v>
      </c>
      <c r="C25" s="45">
        <f>SUM(C20:C24)</f>
        <v>258710.25</v>
      </c>
      <c r="D25" s="45">
        <f>SUM(D20:D24)</f>
        <v>1840503.0499999998</v>
      </c>
      <c r="E25" s="45">
        <f>SUM(E20:E24)</f>
        <v>1526613.87</v>
      </c>
      <c r="F25" s="45">
        <f>SUM(F20:F24)</f>
        <v>572599.4300000002</v>
      </c>
    </row>
    <row r="26" spans="1:6" s="40" customFormat="1" ht="41.25">
      <c r="A26" s="15"/>
      <c r="B26" s="44" t="s">
        <v>6</v>
      </c>
      <c r="C26" s="45">
        <f>C18+C25</f>
        <v>328276.04</v>
      </c>
      <c r="D26" s="45">
        <f>D18+D25</f>
        <v>2590407.6599999997</v>
      </c>
      <c r="E26" s="45">
        <f>E18+E25</f>
        <v>2138836.3200000003</v>
      </c>
      <c r="F26" s="45">
        <f>F18+F25</f>
        <v>779847.3800000001</v>
      </c>
    </row>
    <row r="27" spans="1:6" s="40" customFormat="1" ht="21">
      <c r="A27" s="50"/>
      <c r="B27" s="51"/>
      <c r="C27" s="51"/>
      <c r="D27" s="52"/>
      <c r="E27" s="52"/>
      <c r="F27" s="52"/>
    </row>
    <row r="28" spans="1:6" s="40" customFormat="1" ht="21">
      <c r="A28" s="50"/>
      <c r="B28" s="51"/>
      <c r="C28" s="51"/>
      <c r="D28" s="52"/>
      <c r="E28" s="52"/>
      <c r="F28" s="52"/>
    </row>
    <row r="29" spans="5:6" s="40" customFormat="1" ht="21">
      <c r="E29" s="53"/>
      <c r="F29" s="53" t="s">
        <v>20</v>
      </c>
    </row>
    <row r="30" spans="5:6" s="40" customFormat="1" ht="21">
      <c r="E30" s="53"/>
      <c r="F30" s="53"/>
    </row>
    <row r="31" spans="1:6" s="40" customFormat="1" ht="42.75" customHeight="1">
      <c r="A31" s="170" t="s">
        <v>120</v>
      </c>
      <c r="B31" s="171"/>
      <c r="C31" s="171"/>
      <c r="D31" s="171"/>
      <c r="E31" s="171"/>
      <c r="F31" s="172"/>
    </row>
    <row r="32" spans="1:6" s="55" customFormat="1" ht="42">
      <c r="A32" s="184" t="s">
        <v>121</v>
      </c>
      <c r="B32" s="185"/>
      <c r="C32" s="185"/>
      <c r="D32" s="186"/>
      <c r="E32" s="41" t="s">
        <v>21</v>
      </c>
      <c r="F32" s="54" t="s">
        <v>126</v>
      </c>
    </row>
    <row r="33" spans="1:6" s="40" customFormat="1" ht="171" customHeight="1">
      <c r="A33" s="167" t="s">
        <v>122</v>
      </c>
      <c r="B33" s="168"/>
      <c r="C33" s="168"/>
      <c r="D33" s="169"/>
      <c r="E33" s="57">
        <f>D14</f>
        <v>588165.59</v>
      </c>
      <c r="F33" s="57">
        <f>F14</f>
        <v>192518.39</v>
      </c>
    </row>
    <row r="34" spans="1:6" s="40" customFormat="1" ht="39.75" customHeight="1">
      <c r="A34" s="170" t="s">
        <v>119</v>
      </c>
      <c r="B34" s="171"/>
      <c r="C34" s="171"/>
      <c r="D34" s="171"/>
      <c r="E34" s="171"/>
      <c r="F34" s="172"/>
    </row>
    <row r="35" spans="1:6" s="40" customFormat="1" ht="87.75" customHeight="1">
      <c r="A35" s="176" t="s">
        <v>132</v>
      </c>
      <c r="B35" s="177"/>
      <c r="C35" s="178" t="s">
        <v>121</v>
      </c>
      <c r="D35" s="179"/>
      <c r="E35" s="180"/>
      <c r="F35" s="89" t="s">
        <v>128</v>
      </c>
    </row>
    <row r="36" spans="1:6" s="40" customFormat="1" ht="21">
      <c r="A36" s="161"/>
      <c r="B36" s="158">
        <v>-4794.86</v>
      </c>
      <c r="C36" s="165" t="s">
        <v>142</v>
      </c>
      <c r="D36" s="165"/>
      <c r="E36" s="49">
        <f>250+12+20</f>
        <v>282</v>
      </c>
      <c r="F36" s="46"/>
    </row>
    <row r="37" spans="1:6" s="40" customFormat="1" ht="21">
      <c r="A37" s="162"/>
      <c r="B37" s="189"/>
      <c r="C37" s="165" t="s">
        <v>143</v>
      </c>
      <c r="D37" s="165"/>
      <c r="E37" s="49">
        <f>54+18.4+72+168+108</f>
        <v>420.4</v>
      </c>
      <c r="F37" s="46"/>
    </row>
    <row r="38" spans="1:6" s="40" customFormat="1" ht="21">
      <c r="A38" s="162"/>
      <c r="B38" s="189"/>
      <c r="C38" s="165" t="s">
        <v>108</v>
      </c>
      <c r="D38" s="165"/>
      <c r="E38" s="49">
        <f>41326+122+370+370+54+80+83+195+145+1145+168+260+60</f>
        <v>44378</v>
      </c>
      <c r="F38" s="46"/>
    </row>
    <row r="39" spans="1:6" s="40" customFormat="1" ht="21">
      <c r="A39" s="162"/>
      <c r="B39" s="189"/>
      <c r="C39" s="191" t="s">
        <v>144</v>
      </c>
      <c r="D39" s="192"/>
      <c r="E39" s="49">
        <f>74.48+10.28+3012.51+47.5+42.75+20+12+34+12</f>
        <v>3265.5200000000004</v>
      </c>
      <c r="F39" s="46"/>
    </row>
    <row r="40" spans="1:6" s="40" customFormat="1" ht="21">
      <c r="A40" s="162"/>
      <c r="B40" s="189"/>
      <c r="C40" s="191" t="s">
        <v>145</v>
      </c>
      <c r="D40" s="192"/>
      <c r="E40" s="49">
        <f>2635.95+33.3+11.75+38.2+107+150</f>
        <v>2976.2</v>
      </c>
      <c r="F40" s="46"/>
    </row>
    <row r="41" spans="1:6" s="40" customFormat="1" ht="21">
      <c r="A41" s="162"/>
      <c r="B41" s="189"/>
      <c r="C41" s="191" t="s">
        <v>146</v>
      </c>
      <c r="D41" s="192"/>
      <c r="E41" s="49">
        <f>3834+37.24+5.14+54+37.8+14.9</f>
        <v>3983.08</v>
      </c>
      <c r="F41" s="46"/>
    </row>
    <row r="42" spans="1:6" s="40" customFormat="1" ht="21">
      <c r="A42" s="162"/>
      <c r="B42" s="189"/>
      <c r="C42" s="191" t="s">
        <v>149</v>
      </c>
      <c r="D42" s="192"/>
      <c r="E42" s="49">
        <f>124.95+21.25+103.19+72.51+148.67+25.5+7.4+110+30+26+82</f>
        <v>751.4699999999999</v>
      </c>
      <c r="F42" s="46"/>
    </row>
    <row r="43" spans="1:6" s="40" customFormat="1" ht="21">
      <c r="A43" s="162"/>
      <c r="B43" s="189"/>
      <c r="C43" s="191" t="s">
        <v>147</v>
      </c>
      <c r="D43" s="192"/>
      <c r="E43" s="49">
        <f>112+77+77</f>
        <v>266</v>
      </c>
      <c r="F43" s="46"/>
    </row>
    <row r="44" spans="1:6" s="40" customFormat="1" ht="21">
      <c r="A44" s="162"/>
      <c r="B44" s="189"/>
      <c r="C44" s="191" t="s">
        <v>148</v>
      </c>
      <c r="D44" s="192"/>
      <c r="E44" s="49">
        <f>76+180+224+171</f>
        <v>651</v>
      </c>
      <c r="F44" s="46"/>
    </row>
    <row r="45" spans="1:6" s="40" customFormat="1" ht="21">
      <c r="A45" s="162"/>
      <c r="B45" s="189"/>
      <c r="C45" s="191" t="s">
        <v>150</v>
      </c>
      <c r="D45" s="192"/>
      <c r="E45" s="49">
        <f>180+72+100+171+50</f>
        <v>573</v>
      </c>
      <c r="F45" s="46"/>
    </row>
    <row r="46" spans="1:6" s="40" customFormat="1" ht="21">
      <c r="A46" s="162"/>
      <c r="B46" s="189"/>
      <c r="C46" s="188" t="s">
        <v>140</v>
      </c>
      <c r="D46" s="160"/>
      <c r="E46" s="68">
        <f>SUM(E36:E45)</f>
        <v>57546.67</v>
      </c>
      <c r="F46" s="68">
        <f>E15-E46</f>
        <v>65983.75</v>
      </c>
    </row>
    <row r="47" spans="1:6" s="40" customFormat="1" ht="21">
      <c r="A47" s="159"/>
      <c r="B47" s="190"/>
      <c r="C47" s="188" t="s">
        <v>141</v>
      </c>
      <c r="D47" s="160"/>
      <c r="E47" s="49"/>
      <c r="F47" s="68">
        <f>B36+F46</f>
        <v>61188.89</v>
      </c>
    </row>
    <row r="48" spans="1:6" s="40" customFormat="1" ht="21">
      <c r="A48" s="56">
        <v>3</v>
      </c>
      <c r="B48" s="44" t="s">
        <v>22</v>
      </c>
      <c r="C48" s="176"/>
      <c r="D48" s="177"/>
      <c r="E48" s="58"/>
      <c r="F48" s="15"/>
    </row>
    <row r="49" spans="1:6" s="40" customFormat="1" ht="21">
      <c r="A49" s="193"/>
      <c r="B49" s="164"/>
      <c r="C49" s="164"/>
      <c r="D49" s="164"/>
      <c r="E49" s="58"/>
      <c r="F49" s="15"/>
    </row>
    <row r="50" spans="1:6" s="40" customFormat="1" ht="21">
      <c r="A50" s="194"/>
      <c r="B50" s="164"/>
      <c r="C50" s="164"/>
      <c r="D50" s="164"/>
      <c r="E50" s="58"/>
      <c r="F50" s="15"/>
    </row>
    <row r="51" s="64" customFormat="1" ht="15"/>
    <row r="52" spans="1:6" s="64" customFormat="1" ht="25.5">
      <c r="A52" s="170" t="s">
        <v>203</v>
      </c>
      <c r="B52" s="171"/>
      <c r="C52" s="171"/>
      <c r="D52" s="171"/>
      <c r="E52" s="171"/>
      <c r="F52" s="172"/>
    </row>
    <row r="53" spans="1:6" s="64" customFormat="1" ht="42">
      <c r="A53" s="184" t="s">
        <v>121</v>
      </c>
      <c r="B53" s="185"/>
      <c r="C53" s="185"/>
      <c r="D53" s="186"/>
      <c r="E53" s="41" t="s">
        <v>21</v>
      </c>
      <c r="F53" s="54" t="s">
        <v>126</v>
      </c>
    </row>
    <row r="54" spans="1:6" s="64" customFormat="1" ht="21">
      <c r="A54" s="167" t="s">
        <v>202</v>
      </c>
      <c r="B54" s="168"/>
      <c r="C54" s="168"/>
      <c r="D54" s="169"/>
      <c r="E54" s="57">
        <v>3849.81</v>
      </c>
      <c r="F54" s="57">
        <f>E54</f>
        <v>3849.81</v>
      </c>
    </row>
    <row r="55" s="64" customFormat="1" ht="15"/>
    <row r="56" spans="1:4" s="66" customFormat="1" ht="26.25">
      <c r="A56" s="35" t="s">
        <v>106</v>
      </c>
      <c r="B56" s="35"/>
      <c r="C56" s="37"/>
      <c r="D56" s="37"/>
    </row>
    <row r="57" spans="1:4" s="64" customFormat="1" ht="26.25">
      <c r="A57" s="35" t="s">
        <v>107</v>
      </c>
      <c r="B57" s="35"/>
      <c r="C57" s="37"/>
      <c r="D57" s="37"/>
    </row>
    <row r="60" ht="15">
      <c r="E60" s="129">
        <f>E26</f>
        <v>2138836.3200000003</v>
      </c>
    </row>
    <row r="61" ht="15">
      <c r="E61" s="37">
        <v>61198.78</v>
      </c>
    </row>
    <row r="62" ht="15">
      <c r="E62" s="37">
        <v>129551.59</v>
      </c>
    </row>
    <row r="63" ht="15">
      <c r="E63" s="37">
        <v>50.48</v>
      </c>
    </row>
    <row r="64" ht="15">
      <c r="E64" s="37">
        <v>176069.3</v>
      </c>
    </row>
    <row r="65" ht="15">
      <c r="E65" s="129">
        <f>SUM(E60:E64)</f>
        <v>2505706.4699999997</v>
      </c>
    </row>
  </sheetData>
  <sheetProtection/>
  <mergeCells count="30">
    <mergeCell ref="B49:B50"/>
    <mergeCell ref="A52:F52"/>
    <mergeCell ref="A53:D53"/>
    <mergeCell ref="A54:D54"/>
    <mergeCell ref="A49:A50"/>
    <mergeCell ref="C49:D49"/>
    <mergeCell ref="C50:D50"/>
    <mergeCell ref="A34:F34"/>
    <mergeCell ref="A31:F31"/>
    <mergeCell ref="A33:D33"/>
    <mergeCell ref="A32:D32"/>
    <mergeCell ref="A13:F13"/>
    <mergeCell ref="A19:F19"/>
    <mergeCell ref="A35:B35"/>
    <mergeCell ref="A36:A47"/>
    <mergeCell ref="B36:B47"/>
    <mergeCell ref="C45:D45"/>
    <mergeCell ref="C41:D41"/>
    <mergeCell ref="C42:D42"/>
    <mergeCell ref="C43:D43"/>
    <mergeCell ref="C44:D44"/>
    <mergeCell ref="C35:E35"/>
    <mergeCell ref="C46:D46"/>
    <mergeCell ref="C47:D47"/>
    <mergeCell ref="C48:D48"/>
    <mergeCell ref="C36:D36"/>
    <mergeCell ref="C37:D37"/>
    <mergeCell ref="C39:D39"/>
    <mergeCell ref="C40:D40"/>
    <mergeCell ref="C38:D38"/>
  </mergeCells>
  <printOptions/>
  <pageMargins left="0.25" right="0.25" top="0.75" bottom="0.75" header="0.3" footer="0.3"/>
  <pageSetup fitToHeight="2" horizontalDpi="600" verticalDpi="600" orientation="landscape" paperSize="9" scale="55" r:id="rId2"/>
  <rowBreaks count="1" manualBreakCount="1">
    <brk id="28" max="5" man="1"/>
  </rowBreaks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C1:J54"/>
  <sheetViews>
    <sheetView view="pageBreakPreview" zoomScale="73" zoomScaleSheetLayoutView="73" zoomScalePageLayoutView="0" workbookViewId="0" topLeftCell="C37">
      <selection activeCell="C45" sqref="C45:J45"/>
    </sheetView>
  </sheetViews>
  <sheetFormatPr defaultColWidth="9.140625" defaultRowHeight="15"/>
  <cols>
    <col min="1" max="2" width="9.140625" style="37" customWidth="1"/>
    <col min="3" max="3" width="9.8515625" style="37" customWidth="1"/>
    <col min="4" max="4" width="38.57421875" style="37" customWidth="1"/>
    <col min="5" max="5" width="37.8515625" style="37" customWidth="1"/>
    <col min="6" max="6" width="48.57421875" style="37" customWidth="1"/>
    <col min="7" max="7" width="34.140625" style="37" customWidth="1"/>
    <col min="8" max="8" width="46.00390625" style="37" customWidth="1"/>
    <col min="9" max="9" width="22.421875" style="37" customWidth="1"/>
    <col min="10" max="10" width="16.57421875" style="37" bestFit="1" customWidth="1"/>
    <col min="11" max="16384" width="9.140625" style="37" customWidth="1"/>
  </cols>
  <sheetData>
    <row r="1" spans="4:7" s="35" customFormat="1" ht="28.5">
      <c r="D1" s="36" t="s">
        <v>24</v>
      </c>
      <c r="E1" s="36"/>
      <c r="F1" s="36"/>
      <c r="G1" s="36"/>
    </row>
    <row r="2" spans="4:7" s="35" customFormat="1" ht="28.5">
      <c r="D2" s="36" t="s">
        <v>25</v>
      </c>
      <c r="E2" s="36"/>
      <c r="F2" s="36"/>
      <c r="G2" s="36"/>
    </row>
    <row r="3" spans="4:8" ht="18.75">
      <c r="D3" s="38" t="s">
        <v>26</v>
      </c>
      <c r="E3" s="38"/>
      <c r="F3" s="38"/>
      <c r="G3" s="38"/>
      <c r="H3" s="39"/>
    </row>
    <row r="4" spans="4:8" ht="18.75">
      <c r="D4" s="38" t="s">
        <v>27</v>
      </c>
      <c r="E4" s="38"/>
      <c r="F4" s="38"/>
      <c r="G4" s="38"/>
      <c r="H4" s="39"/>
    </row>
    <row r="5" spans="4:8" ht="15">
      <c r="D5" s="39"/>
      <c r="E5" s="39"/>
      <c r="F5" s="39"/>
      <c r="G5" s="39"/>
      <c r="H5" s="39"/>
    </row>
    <row r="6" spans="4:7" s="40" customFormat="1" ht="26.25">
      <c r="D6" s="35" t="s">
        <v>28</v>
      </c>
      <c r="E6" s="35"/>
      <c r="F6" s="35"/>
      <c r="G6" s="35"/>
    </row>
    <row r="7" spans="4:7" s="40" customFormat="1" ht="26.25">
      <c r="D7" s="35" t="s">
        <v>71</v>
      </c>
      <c r="E7" s="35"/>
      <c r="F7" s="35"/>
      <c r="G7" s="35"/>
    </row>
    <row r="8" spans="4:7" s="40" customFormat="1" ht="26.25">
      <c r="D8" s="35" t="s">
        <v>125</v>
      </c>
      <c r="E8" s="35"/>
      <c r="F8" s="35"/>
      <c r="G8" s="35"/>
    </row>
    <row r="9" spans="4:8" ht="15">
      <c r="D9" s="39"/>
      <c r="E9" s="39"/>
      <c r="F9" s="39"/>
      <c r="G9" s="39"/>
      <c r="H9" s="39"/>
    </row>
    <row r="10" spans="3:8" ht="21">
      <c r="C10" s="40" t="s">
        <v>72</v>
      </c>
      <c r="D10" s="39"/>
      <c r="E10" s="39"/>
      <c r="F10" s="39"/>
      <c r="G10" s="39"/>
      <c r="H10" s="39"/>
    </row>
    <row r="11" s="40" customFormat="1" ht="34.5" customHeight="1">
      <c r="H11" s="53" t="s">
        <v>18</v>
      </c>
    </row>
    <row r="12" spans="3:8" s="42" customFormat="1" ht="40.5">
      <c r="C12" s="41" t="s">
        <v>11</v>
      </c>
      <c r="D12" s="41" t="s">
        <v>12</v>
      </c>
      <c r="E12" s="41" t="s">
        <v>114</v>
      </c>
      <c r="F12" s="41" t="s">
        <v>13</v>
      </c>
      <c r="G12" s="41" t="s">
        <v>14</v>
      </c>
      <c r="H12" s="41" t="s">
        <v>10</v>
      </c>
    </row>
    <row r="13" spans="3:8" s="40" customFormat="1" ht="21">
      <c r="C13" s="181" t="s">
        <v>15</v>
      </c>
      <c r="D13" s="182"/>
      <c r="E13" s="182"/>
      <c r="F13" s="182"/>
      <c r="G13" s="182"/>
      <c r="H13" s="183"/>
    </row>
    <row r="14" spans="3:8" s="40" customFormat="1" ht="21">
      <c r="C14" s="15">
        <v>1</v>
      </c>
      <c r="D14" s="15" t="s">
        <v>16</v>
      </c>
      <c r="E14" s="43">
        <v>28649.48</v>
      </c>
      <c r="F14" s="43">
        <v>127526.11</v>
      </c>
      <c r="G14" s="43">
        <v>51741.73</v>
      </c>
      <c r="H14" s="43">
        <f>E14+F14-G14</f>
        <v>104433.85999999999</v>
      </c>
    </row>
    <row r="15" spans="3:8" s="40" customFormat="1" ht="21">
      <c r="C15" s="15">
        <v>2</v>
      </c>
      <c r="D15" s="15" t="s">
        <v>17</v>
      </c>
      <c r="E15" s="43">
        <v>10323.42</v>
      </c>
      <c r="F15" s="43">
        <v>24325.34</v>
      </c>
      <c r="G15" s="43">
        <v>18806.54</v>
      </c>
      <c r="H15" s="43">
        <f>E15+F15-G15</f>
        <v>15842.220000000001</v>
      </c>
    </row>
    <row r="16" spans="3:8" s="40" customFormat="1" ht="42">
      <c r="C16" s="15">
        <v>3</v>
      </c>
      <c r="D16" s="67" t="s">
        <v>87</v>
      </c>
      <c r="E16" s="43">
        <v>8043.73</v>
      </c>
      <c r="F16" s="43">
        <v>15000</v>
      </c>
      <c r="G16" s="43">
        <v>14092.8</v>
      </c>
      <c r="H16" s="43">
        <f>E16+F16-G16</f>
        <v>8950.93</v>
      </c>
    </row>
    <row r="17" spans="3:8" s="40" customFormat="1" ht="41.25">
      <c r="C17" s="15"/>
      <c r="D17" s="44" t="s">
        <v>0</v>
      </c>
      <c r="E17" s="45">
        <f>SUM(E14:E16)</f>
        <v>47016.630000000005</v>
      </c>
      <c r="F17" s="45">
        <f>SUM(F14:F16)</f>
        <v>166851.45</v>
      </c>
      <c r="G17" s="45">
        <f>SUM(G14:G16)</f>
        <v>84641.07</v>
      </c>
      <c r="H17" s="45">
        <f>SUM(H14:H16)</f>
        <v>129227.00999999998</v>
      </c>
    </row>
    <row r="18" spans="3:8" s="40" customFormat="1" ht="21">
      <c r="C18" s="181" t="s">
        <v>19</v>
      </c>
      <c r="D18" s="182"/>
      <c r="E18" s="182"/>
      <c r="F18" s="182"/>
      <c r="G18" s="182"/>
      <c r="H18" s="183"/>
    </row>
    <row r="19" spans="3:8" s="40" customFormat="1" ht="21">
      <c r="C19" s="15">
        <v>4</v>
      </c>
      <c r="D19" s="15" t="s">
        <v>1</v>
      </c>
      <c r="E19" s="43">
        <v>121560.81</v>
      </c>
      <c r="F19" s="47">
        <v>201756.69</v>
      </c>
      <c r="G19" s="47">
        <v>115671.6</v>
      </c>
      <c r="H19" s="47">
        <f>E19+F19-G19</f>
        <v>207645.9</v>
      </c>
    </row>
    <row r="20" spans="3:8" s="40" customFormat="1" ht="21">
      <c r="C20" s="15">
        <v>5</v>
      </c>
      <c r="D20" s="48" t="s">
        <v>2</v>
      </c>
      <c r="E20" s="49">
        <v>19512.8</v>
      </c>
      <c r="F20" s="47">
        <v>48765.57</v>
      </c>
      <c r="G20" s="47">
        <v>35139.6</v>
      </c>
      <c r="H20" s="47">
        <f>E20+F20-G20</f>
        <v>33138.77</v>
      </c>
    </row>
    <row r="21" spans="3:8" s="40" customFormat="1" ht="21" hidden="1">
      <c r="C21" s="15">
        <v>5</v>
      </c>
      <c r="D21" s="48" t="s">
        <v>7</v>
      </c>
      <c r="E21" s="49"/>
      <c r="F21" s="47"/>
      <c r="G21" s="47"/>
      <c r="H21" s="47">
        <f>E21+F21-G21</f>
        <v>0</v>
      </c>
    </row>
    <row r="22" spans="3:8" s="40" customFormat="1" ht="21">
      <c r="C22" s="15">
        <v>6</v>
      </c>
      <c r="D22" s="48" t="s">
        <v>3</v>
      </c>
      <c r="E22" s="49">
        <v>11902.72</v>
      </c>
      <c r="F22" s="47">
        <v>29135.14</v>
      </c>
      <c r="G22" s="47">
        <v>21219.74</v>
      </c>
      <c r="H22" s="47">
        <f>E22+F22-G22</f>
        <v>19818.12</v>
      </c>
    </row>
    <row r="23" spans="3:8" s="40" customFormat="1" ht="41.25" hidden="1">
      <c r="C23" s="15">
        <v>7</v>
      </c>
      <c r="D23" s="48" t="s">
        <v>4</v>
      </c>
      <c r="E23" s="49"/>
      <c r="F23" s="47"/>
      <c r="G23" s="47"/>
      <c r="H23" s="47">
        <f>E23+F23-G23</f>
        <v>0</v>
      </c>
    </row>
    <row r="24" spans="3:8" s="40" customFormat="1" ht="41.25">
      <c r="C24" s="15"/>
      <c r="D24" s="44" t="s">
        <v>5</v>
      </c>
      <c r="E24" s="45">
        <f>SUM(E19:E23)</f>
        <v>152976.33</v>
      </c>
      <c r="F24" s="45">
        <f>SUM(F19:F23)</f>
        <v>279657.4</v>
      </c>
      <c r="G24" s="45">
        <f>SUM(G19:G23)</f>
        <v>172030.94</v>
      </c>
      <c r="H24" s="45">
        <f>SUM(H19:H23)</f>
        <v>260602.78999999998</v>
      </c>
    </row>
    <row r="25" spans="3:9" s="40" customFormat="1" ht="41.25">
      <c r="C25" s="15"/>
      <c r="D25" s="44" t="s">
        <v>6</v>
      </c>
      <c r="E25" s="45">
        <f>E17+E24</f>
        <v>199992.96</v>
      </c>
      <c r="F25" s="45">
        <f>F17+F24</f>
        <v>446508.85000000003</v>
      </c>
      <c r="G25" s="45">
        <f>G17+G24</f>
        <v>256672.01</v>
      </c>
      <c r="H25" s="45">
        <f>H17+H24</f>
        <v>389829.79999999993</v>
      </c>
      <c r="I25" s="69"/>
    </row>
    <row r="26" spans="3:9" s="40" customFormat="1" ht="21">
      <c r="C26" s="50"/>
      <c r="D26" s="51"/>
      <c r="E26" s="51"/>
      <c r="F26" s="52"/>
      <c r="G26" s="52"/>
      <c r="H26" s="52"/>
      <c r="I26" s="78"/>
    </row>
    <row r="27" spans="3:8" s="40" customFormat="1" ht="21">
      <c r="C27" s="50"/>
      <c r="D27" s="51"/>
      <c r="E27" s="51"/>
      <c r="F27" s="52"/>
      <c r="G27" s="52"/>
      <c r="H27" s="52"/>
    </row>
    <row r="28" spans="7:8" s="40" customFormat="1" ht="21">
      <c r="G28" s="53"/>
      <c r="H28" s="53" t="s">
        <v>20</v>
      </c>
    </row>
    <row r="29" spans="3:8" s="40" customFormat="1" ht="25.5">
      <c r="C29" s="170" t="s">
        <v>120</v>
      </c>
      <c r="D29" s="171"/>
      <c r="E29" s="171"/>
      <c r="F29" s="171"/>
      <c r="G29" s="171"/>
      <c r="H29" s="172"/>
    </row>
    <row r="30" spans="3:8" s="40" customFormat="1" ht="42">
      <c r="C30" s="184" t="s">
        <v>121</v>
      </c>
      <c r="D30" s="185"/>
      <c r="E30" s="185"/>
      <c r="F30" s="186"/>
      <c r="G30" s="41" t="s">
        <v>21</v>
      </c>
      <c r="H30" s="54" t="s">
        <v>126</v>
      </c>
    </row>
    <row r="31" spans="3:8" s="40" customFormat="1" ht="184.5" customHeight="1">
      <c r="C31" s="201" t="s">
        <v>123</v>
      </c>
      <c r="D31" s="202"/>
      <c r="E31" s="202"/>
      <c r="F31" s="203"/>
      <c r="G31" s="57">
        <f>F14</f>
        <v>127526.11</v>
      </c>
      <c r="H31" s="57">
        <f>H14</f>
        <v>104433.85999999999</v>
      </c>
    </row>
    <row r="32" spans="3:8" s="40" customFormat="1" ht="25.5">
      <c r="C32" s="170" t="s">
        <v>119</v>
      </c>
      <c r="D32" s="171"/>
      <c r="E32" s="171"/>
      <c r="F32" s="171"/>
      <c r="G32" s="171"/>
      <c r="H32" s="172"/>
    </row>
    <row r="33" spans="3:8" s="40" customFormat="1" ht="82.5" customHeight="1">
      <c r="C33" s="196" t="s">
        <v>132</v>
      </c>
      <c r="D33" s="197"/>
      <c r="E33" s="178" t="s">
        <v>121</v>
      </c>
      <c r="F33" s="179"/>
      <c r="G33" s="180"/>
      <c r="H33" s="89" t="s">
        <v>128</v>
      </c>
    </row>
    <row r="34" spans="3:8" s="40" customFormat="1" ht="21">
      <c r="C34" s="103"/>
      <c r="D34" s="104">
        <v>14766.59</v>
      </c>
      <c r="E34" s="192" t="s">
        <v>104</v>
      </c>
      <c r="F34" s="165"/>
      <c r="G34" s="49">
        <f>4000+36.9+23+45.92+21.32+36+119</f>
        <v>4282.139999999999</v>
      </c>
      <c r="H34" s="43"/>
    </row>
    <row r="35" spans="3:8" s="40" customFormat="1" ht="21">
      <c r="C35" s="98"/>
      <c r="D35" s="105"/>
      <c r="E35" s="192" t="s">
        <v>103</v>
      </c>
      <c r="F35" s="165"/>
      <c r="G35" s="49">
        <v>200</v>
      </c>
      <c r="H35" s="43"/>
    </row>
    <row r="36" spans="3:8" s="40" customFormat="1" ht="21">
      <c r="C36" s="98"/>
      <c r="D36" s="105"/>
      <c r="E36" s="192" t="s">
        <v>184</v>
      </c>
      <c r="F36" s="165"/>
      <c r="G36" s="49">
        <f>46+14+18.9+20</f>
        <v>98.9</v>
      </c>
      <c r="H36" s="43"/>
    </row>
    <row r="37" spans="3:8" s="40" customFormat="1" ht="21">
      <c r="C37" s="98"/>
      <c r="D37" s="105"/>
      <c r="E37" s="192"/>
      <c r="F37" s="165"/>
      <c r="G37" s="49"/>
      <c r="H37" s="43"/>
    </row>
    <row r="38" spans="3:8" s="40" customFormat="1" ht="21">
      <c r="C38" s="98"/>
      <c r="D38" s="106"/>
      <c r="E38" s="160" t="s">
        <v>140</v>
      </c>
      <c r="F38" s="195"/>
      <c r="G38" s="68">
        <f>SUM(G34:G37)</f>
        <v>4581.039999999999</v>
      </c>
      <c r="H38" s="76">
        <f>G15-G38</f>
        <v>14225.500000000002</v>
      </c>
    </row>
    <row r="39" spans="3:8" s="40" customFormat="1" ht="21">
      <c r="C39" s="99"/>
      <c r="D39" s="107"/>
      <c r="E39" s="160" t="s">
        <v>141</v>
      </c>
      <c r="F39" s="195"/>
      <c r="G39" s="68"/>
      <c r="H39" s="76">
        <f>H38+D34</f>
        <v>28992.090000000004</v>
      </c>
    </row>
    <row r="40" spans="3:8" s="40" customFormat="1" ht="21">
      <c r="C40" s="96">
        <v>3</v>
      </c>
      <c r="D40" s="94" t="s">
        <v>22</v>
      </c>
      <c r="E40" s="259"/>
      <c r="F40" s="259"/>
      <c r="G40" s="58"/>
      <c r="H40" s="15"/>
    </row>
    <row r="41" spans="3:8" s="40" customFormat="1" ht="21">
      <c r="C41" s="198"/>
      <c r="D41" s="200"/>
      <c r="E41" s="164"/>
      <c r="F41" s="164"/>
      <c r="G41" s="58"/>
      <c r="H41" s="15"/>
    </row>
    <row r="42" spans="3:8" s="40" customFormat="1" ht="21">
      <c r="C42" s="175"/>
      <c r="D42" s="175"/>
      <c r="E42" s="164"/>
      <c r="F42" s="164"/>
      <c r="G42" s="58"/>
      <c r="H42" s="15"/>
    </row>
    <row r="43" spans="3:8" s="40" customFormat="1" ht="21">
      <c r="C43" s="120"/>
      <c r="D43" s="120"/>
      <c r="E43" s="120"/>
      <c r="F43" s="121"/>
      <c r="G43" s="95"/>
      <c r="H43" s="122"/>
    </row>
    <row r="44" spans="3:9" s="66" customFormat="1" ht="21">
      <c r="C44" s="120"/>
      <c r="D44" s="120"/>
      <c r="E44" s="120"/>
      <c r="F44" s="121"/>
      <c r="G44" s="95"/>
      <c r="H44" s="122"/>
      <c r="I44" s="53" t="s">
        <v>47</v>
      </c>
    </row>
    <row r="45" spans="3:10" s="64" customFormat="1" ht="60.75">
      <c r="C45" s="41" t="s">
        <v>11</v>
      </c>
      <c r="D45" s="41" t="s">
        <v>50</v>
      </c>
      <c r="E45" s="41" t="s">
        <v>180</v>
      </c>
      <c r="F45" s="41" t="s">
        <v>114</v>
      </c>
      <c r="G45" s="41" t="s">
        <v>181</v>
      </c>
      <c r="H45" s="41" t="s">
        <v>170</v>
      </c>
      <c r="I45" s="41" t="s">
        <v>168</v>
      </c>
      <c r="J45" s="41" t="s">
        <v>49</v>
      </c>
    </row>
    <row r="46" spans="3:10" s="74" customFormat="1" ht="21">
      <c r="C46" s="43"/>
      <c r="D46" s="43" t="s">
        <v>96</v>
      </c>
      <c r="E46" s="43"/>
      <c r="F46" s="43">
        <v>21892.64</v>
      </c>
      <c r="G46" s="43">
        <v>5291.76</v>
      </c>
      <c r="H46" s="65">
        <v>15489.7</v>
      </c>
      <c r="I46" s="43">
        <f>F46+G46-H46</f>
        <v>11694.7</v>
      </c>
      <c r="J46" s="140">
        <f>E46-G46</f>
        <v>-5291.76</v>
      </c>
    </row>
    <row r="47" spans="3:10" s="74" customFormat="1" ht="21">
      <c r="C47" s="43"/>
      <c r="D47" s="43" t="s">
        <v>97</v>
      </c>
      <c r="E47" s="43">
        <v>11341.72</v>
      </c>
      <c r="F47" s="43">
        <v>24233.71</v>
      </c>
      <c r="G47" s="65">
        <v>5591.98</v>
      </c>
      <c r="H47" s="65">
        <v>16157.43</v>
      </c>
      <c r="I47" s="43">
        <f>F47+G47-H47</f>
        <v>13668.259999999998</v>
      </c>
      <c r="J47" s="140">
        <f>E47-G47</f>
        <v>5749.74</v>
      </c>
    </row>
    <row r="49" spans="4:5" ht="26.25">
      <c r="D49" s="35" t="s">
        <v>106</v>
      </c>
      <c r="E49" s="35"/>
    </row>
    <row r="50" spans="4:5" ht="26.25">
      <c r="D50" s="35" t="s">
        <v>107</v>
      </c>
      <c r="E50" s="35"/>
    </row>
    <row r="51" ht="15">
      <c r="H51" s="132">
        <f>G25+H46+H47</f>
        <v>288319.14</v>
      </c>
    </row>
    <row r="52" ht="15">
      <c r="H52" s="37">
        <v>46332.27</v>
      </c>
    </row>
    <row r="53" ht="15">
      <c r="H53" s="37">
        <v>29226.73</v>
      </c>
    </row>
    <row r="54" ht="15">
      <c r="H54" s="132">
        <f>H51+H52+H53</f>
        <v>363878.14</v>
      </c>
    </row>
  </sheetData>
  <sheetProtection/>
  <mergeCells count="19">
    <mergeCell ref="C31:F31"/>
    <mergeCell ref="C32:H32"/>
    <mergeCell ref="C41:C42"/>
    <mergeCell ref="D41:D42"/>
    <mergeCell ref="E36:F36"/>
    <mergeCell ref="E35:F35"/>
    <mergeCell ref="E39:F39"/>
    <mergeCell ref="E37:F37"/>
    <mergeCell ref="E38:F38"/>
    <mergeCell ref="E40:F40"/>
    <mergeCell ref="C13:H13"/>
    <mergeCell ref="C18:H18"/>
    <mergeCell ref="C29:H29"/>
    <mergeCell ref="C30:F30"/>
    <mergeCell ref="E41:F41"/>
    <mergeCell ref="E42:F42"/>
    <mergeCell ref="E34:F34"/>
    <mergeCell ref="C33:D33"/>
    <mergeCell ref="E33:G33"/>
  </mergeCells>
  <printOptions/>
  <pageMargins left="0.25" right="0.25" top="0.75" bottom="0.75" header="0.3" footer="0.3"/>
  <pageSetup horizontalDpi="600" verticalDpi="600" orientation="landscape" paperSize="9" scale="53" r:id="rId2"/>
  <rowBreaks count="1" manualBreakCount="1">
    <brk id="31" min="2" max="9" man="1"/>
  </rowBreaks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C1:H48"/>
  <sheetViews>
    <sheetView view="pageBreakPreview" zoomScale="73" zoomScaleSheetLayoutView="73" zoomScalePageLayoutView="0" workbookViewId="0" topLeftCell="A26">
      <selection activeCell="G53" sqref="G53"/>
    </sheetView>
  </sheetViews>
  <sheetFormatPr defaultColWidth="9.140625" defaultRowHeight="15"/>
  <cols>
    <col min="3" max="3" width="9.00390625" style="0" customWidth="1"/>
    <col min="4" max="5" width="37.8515625" style="0" customWidth="1"/>
    <col min="6" max="6" width="48.57421875" style="0" customWidth="1"/>
    <col min="7" max="7" width="34.140625" style="0" customWidth="1"/>
    <col min="8" max="8" width="30.140625" style="0" customWidth="1"/>
  </cols>
  <sheetData>
    <row r="1" spans="4:7" s="1" customFormat="1" ht="28.5">
      <c r="D1" s="20" t="s">
        <v>24</v>
      </c>
      <c r="E1" s="20"/>
      <c r="F1" s="20"/>
      <c r="G1" s="20"/>
    </row>
    <row r="2" spans="4:7" s="1" customFormat="1" ht="28.5">
      <c r="D2" s="20" t="s">
        <v>25</v>
      </c>
      <c r="E2" s="20"/>
      <c r="F2" s="20"/>
      <c r="G2" s="20"/>
    </row>
    <row r="3" spans="4:8" ht="18.75">
      <c r="D3" s="2" t="s">
        <v>26</v>
      </c>
      <c r="E3" s="2"/>
      <c r="F3" s="2"/>
      <c r="G3" s="2"/>
      <c r="H3" s="7"/>
    </row>
    <row r="4" spans="4:8" ht="18.75">
      <c r="D4" s="2" t="s">
        <v>27</v>
      </c>
      <c r="E4" s="2"/>
      <c r="F4" s="2"/>
      <c r="G4" s="2"/>
      <c r="H4" s="7"/>
    </row>
    <row r="5" spans="4:8" ht="15">
      <c r="D5" s="7"/>
      <c r="E5" s="7"/>
      <c r="F5" s="7"/>
      <c r="G5" s="7"/>
      <c r="H5" s="7"/>
    </row>
    <row r="6" spans="4:7" s="3" customFormat="1" ht="26.25">
      <c r="D6" s="1" t="s">
        <v>28</v>
      </c>
      <c r="E6" s="1"/>
      <c r="F6" s="1"/>
      <c r="G6" s="1"/>
    </row>
    <row r="7" spans="4:7" s="3" customFormat="1" ht="26.25">
      <c r="D7" s="1" t="s">
        <v>73</v>
      </c>
      <c r="E7" s="1"/>
      <c r="F7" s="1"/>
      <c r="G7" s="1"/>
    </row>
    <row r="8" spans="4:7" s="3" customFormat="1" ht="26.25">
      <c r="D8" s="1" t="s">
        <v>125</v>
      </c>
      <c r="E8" s="1"/>
      <c r="F8" s="1"/>
      <c r="G8" s="1"/>
    </row>
    <row r="9" spans="4:8" ht="15">
      <c r="D9" s="7"/>
      <c r="E9" s="7"/>
      <c r="F9" s="7"/>
      <c r="G9" s="7"/>
      <c r="H9" s="7"/>
    </row>
    <row r="10" spans="3:8" ht="21">
      <c r="C10" s="3" t="s">
        <v>74</v>
      </c>
      <c r="D10" s="7"/>
      <c r="E10" s="7"/>
      <c r="F10" s="7"/>
      <c r="G10" s="7"/>
      <c r="H10" s="7"/>
    </row>
    <row r="11" s="3" customFormat="1" ht="34.5" customHeight="1">
      <c r="H11" s="8" t="s">
        <v>18</v>
      </c>
    </row>
    <row r="12" spans="3:8" s="10" customFormat="1" ht="40.5">
      <c r="C12" s="9" t="s">
        <v>11</v>
      </c>
      <c r="D12" s="9" t="s">
        <v>12</v>
      </c>
      <c r="E12" s="9" t="s">
        <v>114</v>
      </c>
      <c r="F12" s="9" t="s">
        <v>13</v>
      </c>
      <c r="G12" s="9" t="s">
        <v>14</v>
      </c>
      <c r="H12" s="9" t="s">
        <v>10</v>
      </c>
    </row>
    <row r="13" spans="3:8" s="3" customFormat="1" ht="21">
      <c r="C13" s="222" t="s">
        <v>15</v>
      </c>
      <c r="D13" s="223"/>
      <c r="E13" s="223"/>
      <c r="F13" s="223"/>
      <c r="G13" s="223"/>
      <c r="H13" s="224"/>
    </row>
    <row r="14" spans="3:8" s="3" customFormat="1" ht="21">
      <c r="C14" s="11">
        <v>1</v>
      </c>
      <c r="D14" s="11" t="s">
        <v>16</v>
      </c>
      <c r="E14" s="24">
        <v>13102.43</v>
      </c>
      <c r="F14" s="24">
        <v>94480.02</v>
      </c>
      <c r="G14" s="24">
        <v>74685.09</v>
      </c>
      <c r="H14" s="24">
        <f>E14+F14-G14</f>
        <v>32897.360000000015</v>
      </c>
    </row>
    <row r="15" spans="3:8" s="3" customFormat="1" ht="21">
      <c r="C15" s="11">
        <v>2</v>
      </c>
      <c r="D15" s="11" t="s">
        <v>17</v>
      </c>
      <c r="E15" s="24">
        <v>3698.73</v>
      </c>
      <c r="F15" s="24">
        <v>15613.02</v>
      </c>
      <c r="G15" s="24">
        <v>20899.12</v>
      </c>
      <c r="H15" s="24">
        <f>E15+F15-G15</f>
        <v>-1587.369999999999</v>
      </c>
    </row>
    <row r="16" spans="3:8" s="3" customFormat="1" ht="41.25">
      <c r="C16" s="11"/>
      <c r="D16" s="4" t="s">
        <v>0</v>
      </c>
      <c r="E16" s="25">
        <f>SUM(E14:E15)</f>
        <v>16801.16</v>
      </c>
      <c r="F16" s="25">
        <f>SUM(F14:F15)</f>
        <v>110093.04000000001</v>
      </c>
      <c r="G16" s="25">
        <f>SUM(G14:G15)</f>
        <v>95584.20999999999</v>
      </c>
      <c r="H16" s="25">
        <f>SUM(H14:H15)</f>
        <v>31309.990000000016</v>
      </c>
    </row>
    <row r="17" spans="3:8" s="3" customFormat="1" ht="21">
      <c r="C17" s="222" t="s">
        <v>19</v>
      </c>
      <c r="D17" s="223"/>
      <c r="E17" s="223"/>
      <c r="F17" s="223"/>
      <c r="G17" s="223"/>
      <c r="H17" s="224"/>
    </row>
    <row r="18" spans="3:8" s="3" customFormat="1" ht="21">
      <c r="C18" s="11">
        <v>3</v>
      </c>
      <c r="D18" s="11" t="s">
        <v>1</v>
      </c>
      <c r="E18" s="24">
        <v>47573.12</v>
      </c>
      <c r="F18" s="27">
        <v>291214.63</v>
      </c>
      <c r="G18" s="27">
        <v>221978.77</v>
      </c>
      <c r="H18" s="27">
        <f>E18+F18-G18</f>
        <v>116808.98000000001</v>
      </c>
    </row>
    <row r="19" spans="3:8" s="3" customFormat="1" ht="21">
      <c r="C19" s="11">
        <v>4</v>
      </c>
      <c r="D19" s="14" t="s">
        <v>2</v>
      </c>
      <c r="E19" s="28">
        <v>7000.41</v>
      </c>
      <c r="F19" s="27">
        <v>42036.81</v>
      </c>
      <c r="G19" s="27">
        <v>37891.05</v>
      </c>
      <c r="H19" s="27">
        <f>E19+F19-G19</f>
        <v>11146.169999999998</v>
      </c>
    </row>
    <row r="20" spans="3:8" s="3" customFormat="1" ht="21" hidden="1">
      <c r="C20" s="15">
        <v>5</v>
      </c>
      <c r="D20" s="14" t="s">
        <v>7</v>
      </c>
      <c r="E20" s="28"/>
      <c r="F20" s="27"/>
      <c r="G20" s="27"/>
      <c r="H20" s="27">
        <f>E20+F20-G20</f>
        <v>0</v>
      </c>
    </row>
    <row r="21" spans="3:8" s="3" customFormat="1" ht="21">
      <c r="C21" s="15">
        <v>5</v>
      </c>
      <c r="D21" s="14" t="s">
        <v>3</v>
      </c>
      <c r="E21" s="28">
        <v>4371.46</v>
      </c>
      <c r="F21" s="27">
        <v>25267.6</v>
      </c>
      <c r="G21" s="27">
        <v>23014.6</v>
      </c>
      <c r="H21" s="27">
        <f>E21+F21-G21</f>
        <v>6624.459999999999</v>
      </c>
    </row>
    <row r="22" spans="3:8" s="3" customFormat="1" ht="41.25" hidden="1">
      <c r="C22" s="15">
        <v>7</v>
      </c>
      <c r="D22" s="14" t="s">
        <v>4</v>
      </c>
      <c r="E22" s="28"/>
      <c r="F22" s="27"/>
      <c r="G22" s="27"/>
      <c r="H22" s="27">
        <f>F22-G22</f>
        <v>0</v>
      </c>
    </row>
    <row r="23" spans="3:8" s="3" customFormat="1" ht="41.25">
      <c r="C23" s="11"/>
      <c r="D23" s="4" t="s">
        <v>5</v>
      </c>
      <c r="E23" s="25">
        <f>SUM(E18:E22)</f>
        <v>58944.99</v>
      </c>
      <c r="F23" s="25">
        <f>SUM(F18:F22)</f>
        <v>358519.04</v>
      </c>
      <c r="G23" s="25">
        <f>SUM(G18:G22)</f>
        <v>282884.42</v>
      </c>
      <c r="H23" s="25">
        <f>SUM(H18:H22)</f>
        <v>134579.61000000002</v>
      </c>
    </row>
    <row r="24" spans="3:8" s="3" customFormat="1" ht="41.25">
      <c r="C24" s="11"/>
      <c r="D24" s="4" t="s">
        <v>6</v>
      </c>
      <c r="E24" s="25">
        <f>E16+E23</f>
        <v>75746.15</v>
      </c>
      <c r="F24" s="25">
        <f>F16+F23</f>
        <v>468612.07999999996</v>
      </c>
      <c r="G24" s="25">
        <f>G16+G23</f>
        <v>378468.63</v>
      </c>
      <c r="H24" s="25">
        <f>H16+H23</f>
        <v>165889.60000000003</v>
      </c>
    </row>
    <row r="25" spans="3:8" s="3" customFormat="1" ht="21">
      <c r="C25" s="16"/>
      <c r="D25" s="17"/>
      <c r="E25" s="17"/>
      <c r="F25" s="18"/>
      <c r="G25" s="18"/>
      <c r="H25" s="18"/>
    </row>
    <row r="26" spans="3:8" s="3" customFormat="1" ht="21">
      <c r="C26" s="16"/>
      <c r="D26" s="17"/>
      <c r="E26" s="17"/>
      <c r="F26" s="18"/>
      <c r="G26" s="18"/>
      <c r="H26" s="18"/>
    </row>
    <row r="27" spans="7:8" s="3" customFormat="1" ht="21">
      <c r="G27" s="8"/>
      <c r="H27" s="8" t="s">
        <v>20</v>
      </c>
    </row>
    <row r="28" spans="3:8" s="3" customFormat="1" ht="25.5">
      <c r="C28" s="170" t="s">
        <v>120</v>
      </c>
      <c r="D28" s="171"/>
      <c r="E28" s="171"/>
      <c r="F28" s="171"/>
      <c r="G28" s="171"/>
      <c r="H28" s="172"/>
    </row>
    <row r="29" spans="3:8" s="3" customFormat="1" ht="63">
      <c r="C29" s="184" t="s">
        <v>121</v>
      </c>
      <c r="D29" s="185"/>
      <c r="E29" s="185"/>
      <c r="F29" s="186"/>
      <c r="G29" s="41" t="s">
        <v>21</v>
      </c>
      <c r="H29" s="54" t="s">
        <v>126</v>
      </c>
    </row>
    <row r="30" spans="3:8" s="3" customFormat="1" ht="188.25" customHeight="1">
      <c r="C30" s="201" t="s">
        <v>123</v>
      </c>
      <c r="D30" s="202"/>
      <c r="E30" s="202"/>
      <c r="F30" s="203"/>
      <c r="G30" s="57">
        <f>F14</f>
        <v>94480.02</v>
      </c>
      <c r="H30" s="57">
        <f>H14</f>
        <v>32897.360000000015</v>
      </c>
    </row>
    <row r="31" spans="3:8" s="3" customFormat="1" ht="25.5">
      <c r="C31" s="170" t="s">
        <v>119</v>
      </c>
      <c r="D31" s="171"/>
      <c r="E31" s="171"/>
      <c r="F31" s="171"/>
      <c r="G31" s="171"/>
      <c r="H31" s="172"/>
    </row>
    <row r="32" spans="3:8" s="3" customFormat="1" ht="63">
      <c r="C32" s="196" t="s">
        <v>132</v>
      </c>
      <c r="D32" s="197"/>
      <c r="E32" s="178" t="s">
        <v>121</v>
      </c>
      <c r="F32" s="179"/>
      <c r="G32" s="180"/>
      <c r="H32" s="89" t="s">
        <v>128</v>
      </c>
    </row>
    <row r="33" spans="3:8" s="3" customFormat="1" ht="21">
      <c r="C33" s="118"/>
      <c r="D33" s="109">
        <v>-34263.31</v>
      </c>
      <c r="E33" s="262" t="s">
        <v>31</v>
      </c>
      <c r="F33" s="262"/>
      <c r="G33" s="28">
        <v>6209.94</v>
      </c>
      <c r="H33" s="24"/>
    </row>
    <row r="34" spans="3:8" s="3" customFormat="1" ht="21">
      <c r="C34" s="111"/>
      <c r="D34" s="110"/>
      <c r="E34" s="262"/>
      <c r="F34" s="262"/>
      <c r="G34" s="28"/>
      <c r="H34" s="24"/>
    </row>
    <row r="35" spans="3:8" s="3" customFormat="1" ht="21">
      <c r="C35" s="111"/>
      <c r="D35" s="111"/>
      <c r="E35" s="216" t="s">
        <v>140</v>
      </c>
      <c r="F35" s="217"/>
      <c r="G35" s="29">
        <f>SUM(G33:G34)</f>
        <v>6209.94</v>
      </c>
      <c r="H35" s="30">
        <f>G15-G35</f>
        <v>14689.18</v>
      </c>
    </row>
    <row r="36" spans="3:8" s="3" customFormat="1" ht="21">
      <c r="C36" s="112"/>
      <c r="D36" s="112"/>
      <c r="E36" s="216" t="s">
        <v>141</v>
      </c>
      <c r="F36" s="217"/>
      <c r="G36" s="29"/>
      <c r="H36" s="30">
        <f>D33+H35</f>
        <v>-19574.129999999997</v>
      </c>
    </row>
    <row r="37" spans="3:8" s="3" customFormat="1" ht="21">
      <c r="C37" s="145">
        <v>3</v>
      </c>
      <c r="D37" s="4" t="s">
        <v>22</v>
      </c>
      <c r="E37" s="230"/>
      <c r="F37" s="230"/>
      <c r="G37" s="19"/>
      <c r="H37" s="11"/>
    </row>
    <row r="38" spans="3:8" s="3" customFormat="1" ht="21">
      <c r="C38" s="239"/>
      <c r="D38" s="240"/>
      <c r="E38" s="231"/>
      <c r="F38" s="231"/>
      <c r="G38" s="19"/>
      <c r="H38" s="11"/>
    </row>
    <row r="39" spans="3:8" s="3" customFormat="1" ht="21">
      <c r="C39" s="240"/>
      <c r="D39" s="240"/>
      <c r="E39" s="231"/>
      <c r="F39" s="231"/>
      <c r="G39" s="19"/>
      <c r="H39" s="11"/>
    </row>
    <row r="40" spans="3:8" s="3" customFormat="1" ht="21">
      <c r="C40" s="240"/>
      <c r="D40" s="240"/>
      <c r="E40" s="246"/>
      <c r="F40" s="246"/>
      <c r="G40" s="19"/>
      <c r="H40" s="11"/>
    </row>
    <row r="41" s="6" customFormat="1" ht="21">
      <c r="C41" s="3"/>
    </row>
    <row r="42" spans="4:6" s="5" customFormat="1" ht="26.25">
      <c r="D42" s="1" t="s">
        <v>106</v>
      </c>
      <c r="E42" s="1"/>
      <c r="F42"/>
    </row>
    <row r="43" spans="4:5" ht="26.25">
      <c r="D43" s="1" t="s">
        <v>107</v>
      </c>
      <c r="E43" s="1"/>
    </row>
    <row r="45" ht="15">
      <c r="G45" s="23">
        <f>G24</f>
        <v>378468.63</v>
      </c>
    </row>
    <row r="46" ht="15">
      <c r="G46">
        <v>33979.35</v>
      </c>
    </row>
    <row r="47" ht="15">
      <c r="G47">
        <v>47939.18</v>
      </c>
    </row>
    <row r="48" ht="15">
      <c r="G48" s="23">
        <f>SUM(G45:G47)</f>
        <v>460387.16</v>
      </c>
    </row>
  </sheetData>
  <sheetProtection/>
  <mergeCells count="18">
    <mergeCell ref="C13:H13"/>
    <mergeCell ref="C17:H17"/>
    <mergeCell ref="C38:C40"/>
    <mergeCell ref="D38:D40"/>
    <mergeCell ref="E34:F34"/>
    <mergeCell ref="C28:H28"/>
    <mergeCell ref="C29:F29"/>
    <mergeCell ref="C30:F30"/>
    <mergeCell ref="C31:H31"/>
    <mergeCell ref="E35:F35"/>
    <mergeCell ref="E36:F36"/>
    <mergeCell ref="C32:D32"/>
    <mergeCell ref="E32:G32"/>
    <mergeCell ref="E33:F33"/>
    <mergeCell ref="E37:F37"/>
    <mergeCell ref="E38:F38"/>
    <mergeCell ref="E39:F39"/>
    <mergeCell ref="E40:F40"/>
  </mergeCells>
  <printOptions/>
  <pageMargins left="0.25" right="0.25" top="0.75" bottom="0.75" header="0.3" footer="0.3"/>
  <pageSetup horizontalDpi="600" verticalDpi="600" orientation="landscape" paperSize="9" scale="61" r:id="rId2"/>
  <rowBreaks count="1" manualBreakCount="1">
    <brk id="26" min="2" max="7" man="1"/>
  </rowBreaks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C1:I60"/>
  <sheetViews>
    <sheetView view="pageBreakPreview" zoomScale="73" zoomScaleSheetLayoutView="73" zoomScalePageLayoutView="0" workbookViewId="0" topLeftCell="C37">
      <selection activeCell="C49" sqref="C49:H51"/>
    </sheetView>
  </sheetViews>
  <sheetFormatPr defaultColWidth="9.140625" defaultRowHeight="15"/>
  <cols>
    <col min="3" max="3" width="9.00390625" style="0" customWidth="1"/>
    <col min="4" max="5" width="40.421875" style="0" customWidth="1"/>
    <col min="6" max="6" width="48.57421875" style="0" customWidth="1"/>
    <col min="7" max="7" width="34.140625" style="0" customWidth="1"/>
    <col min="8" max="8" width="30.00390625" style="0" customWidth="1"/>
    <col min="9" max="9" width="18.7109375" style="0" bestFit="1" customWidth="1"/>
  </cols>
  <sheetData>
    <row r="1" spans="4:7" s="1" customFormat="1" ht="28.5">
      <c r="D1" s="20" t="s">
        <v>24</v>
      </c>
      <c r="E1" s="20"/>
      <c r="F1" s="20"/>
      <c r="G1" s="20"/>
    </row>
    <row r="2" spans="4:7" s="1" customFormat="1" ht="28.5">
      <c r="D2" s="20" t="s">
        <v>25</v>
      </c>
      <c r="E2" s="20"/>
      <c r="F2" s="20"/>
      <c r="G2" s="20"/>
    </row>
    <row r="3" spans="4:8" ht="18.75">
      <c r="D3" s="2" t="s">
        <v>26</v>
      </c>
      <c r="E3" s="2"/>
      <c r="F3" s="2"/>
      <c r="G3" s="2"/>
      <c r="H3" s="7"/>
    </row>
    <row r="4" spans="4:8" ht="18.75">
      <c r="D4" s="2" t="s">
        <v>27</v>
      </c>
      <c r="E4" s="2"/>
      <c r="F4" s="2"/>
      <c r="G4" s="2"/>
      <c r="H4" s="7"/>
    </row>
    <row r="5" spans="4:8" ht="15">
      <c r="D5" s="7"/>
      <c r="E5" s="7"/>
      <c r="F5" s="7"/>
      <c r="G5" s="7"/>
      <c r="H5" s="7"/>
    </row>
    <row r="6" spans="4:7" s="3" customFormat="1" ht="26.25">
      <c r="D6" s="1" t="s">
        <v>28</v>
      </c>
      <c r="E6" s="1"/>
      <c r="F6" s="1"/>
      <c r="G6" s="1"/>
    </row>
    <row r="7" spans="4:7" s="3" customFormat="1" ht="26.25">
      <c r="D7" s="1" t="s">
        <v>75</v>
      </c>
      <c r="E7" s="1"/>
      <c r="F7" s="1"/>
      <c r="G7" s="1"/>
    </row>
    <row r="8" spans="4:7" s="3" customFormat="1" ht="26.25">
      <c r="D8" s="1" t="s">
        <v>125</v>
      </c>
      <c r="E8" s="1"/>
      <c r="F8" s="1"/>
      <c r="G8" s="1"/>
    </row>
    <row r="9" spans="4:8" ht="15">
      <c r="D9" s="7"/>
      <c r="E9" s="7"/>
      <c r="F9" s="7"/>
      <c r="G9" s="7"/>
      <c r="H9" s="7"/>
    </row>
    <row r="10" spans="3:8" ht="21">
      <c r="C10" s="3" t="s">
        <v>76</v>
      </c>
      <c r="D10" s="7"/>
      <c r="E10" s="7"/>
      <c r="F10" s="7"/>
      <c r="G10" s="7"/>
      <c r="H10" s="7"/>
    </row>
    <row r="11" s="3" customFormat="1" ht="34.5" customHeight="1">
      <c r="H11" s="8" t="s">
        <v>18</v>
      </c>
    </row>
    <row r="12" spans="3:8" s="10" customFormat="1" ht="40.5">
      <c r="C12" s="9" t="s">
        <v>11</v>
      </c>
      <c r="D12" s="9" t="s">
        <v>12</v>
      </c>
      <c r="E12" s="9" t="s">
        <v>114</v>
      </c>
      <c r="F12" s="9" t="s">
        <v>13</v>
      </c>
      <c r="G12" s="9" t="s">
        <v>14</v>
      </c>
      <c r="H12" s="9" t="s">
        <v>10</v>
      </c>
    </row>
    <row r="13" spans="3:8" s="3" customFormat="1" ht="21">
      <c r="C13" s="222" t="s">
        <v>15</v>
      </c>
      <c r="D13" s="223"/>
      <c r="E13" s="223"/>
      <c r="F13" s="223"/>
      <c r="G13" s="223"/>
      <c r="H13" s="224"/>
    </row>
    <row r="14" spans="3:8" s="3" customFormat="1" ht="21">
      <c r="C14" s="11">
        <v>1</v>
      </c>
      <c r="D14" s="11" t="s">
        <v>16</v>
      </c>
      <c r="E14" s="24">
        <v>36557.1</v>
      </c>
      <c r="F14" s="24">
        <v>390400.22</v>
      </c>
      <c r="G14" s="24">
        <v>163358.11</v>
      </c>
      <c r="H14" s="24">
        <f>E14+F14-G14</f>
        <v>263599.20999999996</v>
      </c>
    </row>
    <row r="15" spans="3:8" s="3" customFormat="1" ht="21">
      <c r="C15" s="11">
        <v>2</v>
      </c>
      <c r="D15" s="11" t="s">
        <v>17</v>
      </c>
      <c r="E15" s="24">
        <v>10432.91</v>
      </c>
      <c r="F15" s="24">
        <v>52142.65</v>
      </c>
      <c r="G15" s="24">
        <v>43863.45</v>
      </c>
      <c r="H15" s="24">
        <f>E15+F15-G15</f>
        <v>18712.11</v>
      </c>
    </row>
    <row r="16" spans="3:8" s="3" customFormat="1" ht="41.25">
      <c r="C16" s="11"/>
      <c r="D16" s="4" t="s">
        <v>0</v>
      </c>
      <c r="E16" s="25">
        <f>SUM(E14:E15)</f>
        <v>46990.009999999995</v>
      </c>
      <c r="F16" s="25">
        <f>SUM(F14:F15)</f>
        <v>442542.87</v>
      </c>
      <c r="G16" s="25">
        <f>SUM(G14:G15)</f>
        <v>207221.56</v>
      </c>
      <c r="H16" s="25">
        <f>SUM(H14:H15)</f>
        <v>282311.31999999995</v>
      </c>
    </row>
    <row r="17" spans="3:8" s="3" customFormat="1" ht="21">
      <c r="C17" s="222" t="s">
        <v>19</v>
      </c>
      <c r="D17" s="223"/>
      <c r="E17" s="223"/>
      <c r="F17" s="223"/>
      <c r="G17" s="223"/>
      <c r="H17" s="224"/>
    </row>
    <row r="18" spans="3:8" s="3" customFormat="1" ht="21">
      <c r="C18" s="11">
        <v>3</v>
      </c>
      <c r="D18" s="11" t="s">
        <v>1</v>
      </c>
      <c r="E18" s="24">
        <v>134821.79</v>
      </c>
      <c r="F18" s="27">
        <v>517200.41</v>
      </c>
      <c r="G18" s="27">
        <v>577021.4</v>
      </c>
      <c r="H18" s="27">
        <f aca="true" t="shared" si="0" ref="H18:H23">E18+F18-G18</f>
        <v>75000.79999999993</v>
      </c>
    </row>
    <row r="19" spans="3:9" s="3" customFormat="1" ht="21">
      <c r="C19" s="11">
        <v>4</v>
      </c>
      <c r="D19" s="11" t="s">
        <v>4</v>
      </c>
      <c r="E19" s="24">
        <v>25783.19</v>
      </c>
      <c r="F19" s="27">
        <f>110384.56+9500.72</f>
        <v>119885.28</v>
      </c>
      <c r="G19" s="27">
        <f>92211.82+6378.59</f>
        <v>98590.41</v>
      </c>
      <c r="H19" s="27">
        <f t="shared" si="0"/>
        <v>47078.06</v>
      </c>
      <c r="I19" s="34"/>
    </row>
    <row r="20" spans="3:8" s="3" customFormat="1" ht="21">
      <c r="C20" s="11">
        <v>5</v>
      </c>
      <c r="D20" s="14" t="s">
        <v>2</v>
      </c>
      <c r="E20" s="28">
        <v>14718.35</v>
      </c>
      <c r="F20" s="27">
        <v>31306.01</v>
      </c>
      <c r="G20" s="27">
        <f>74.11+25793.04</f>
        <v>25867.15</v>
      </c>
      <c r="H20" s="27">
        <f t="shared" si="0"/>
        <v>20157.21</v>
      </c>
    </row>
    <row r="21" spans="3:8" s="3" customFormat="1" ht="21" hidden="1">
      <c r="C21" s="15">
        <v>5</v>
      </c>
      <c r="D21" s="14" t="s">
        <v>7</v>
      </c>
      <c r="E21" s="28"/>
      <c r="F21" s="27"/>
      <c r="G21" s="27"/>
      <c r="H21" s="27">
        <f t="shared" si="0"/>
        <v>0</v>
      </c>
    </row>
    <row r="22" spans="3:8" s="3" customFormat="1" ht="21">
      <c r="C22" s="15">
        <v>6</v>
      </c>
      <c r="D22" s="14" t="s">
        <v>7</v>
      </c>
      <c r="E22" s="28">
        <v>45730.57</v>
      </c>
      <c r="F22" s="27">
        <v>186343.63</v>
      </c>
      <c r="G22" s="27">
        <v>147008.69</v>
      </c>
      <c r="H22" s="27">
        <f t="shared" si="0"/>
        <v>85065.51000000001</v>
      </c>
    </row>
    <row r="23" spans="3:8" s="3" customFormat="1" ht="21">
      <c r="C23" s="15">
        <v>7</v>
      </c>
      <c r="D23" s="14" t="s">
        <v>77</v>
      </c>
      <c r="E23" s="28">
        <v>27533.27</v>
      </c>
      <c r="F23" s="27">
        <f>40325+97564.37</f>
        <v>137889.37</v>
      </c>
      <c r="G23" s="27">
        <f>36250.24+83820.44</f>
        <v>120070.68</v>
      </c>
      <c r="H23" s="27">
        <f t="shared" si="0"/>
        <v>45351.95999999999</v>
      </c>
    </row>
    <row r="24" spans="3:8" s="3" customFormat="1" ht="21" hidden="1">
      <c r="C24" s="15">
        <v>7</v>
      </c>
      <c r="D24" s="14" t="s">
        <v>4</v>
      </c>
      <c r="E24" s="28"/>
      <c r="F24" s="27"/>
      <c r="G24" s="27"/>
      <c r="H24" s="27">
        <f>F24-G24</f>
        <v>0</v>
      </c>
    </row>
    <row r="25" spans="3:8" s="3" customFormat="1" ht="41.25">
      <c r="C25" s="11"/>
      <c r="D25" s="4" t="s">
        <v>5</v>
      </c>
      <c r="E25" s="25">
        <f>SUM(E18:E24)</f>
        <v>248587.17</v>
      </c>
      <c r="F25" s="25">
        <f>SUM(F18:F24)</f>
        <v>992624.7</v>
      </c>
      <c r="G25" s="25">
        <f>SUM(G18:G24)</f>
        <v>968558.3300000001</v>
      </c>
      <c r="H25" s="25">
        <f>SUM(H18:H24)</f>
        <v>272653.5399999999</v>
      </c>
    </row>
    <row r="26" spans="3:8" s="3" customFormat="1" ht="41.25">
      <c r="C26" s="11"/>
      <c r="D26" s="4" t="s">
        <v>6</v>
      </c>
      <c r="E26" s="25">
        <f>E16+E25</f>
        <v>295577.18</v>
      </c>
      <c r="F26" s="25">
        <f>F16+F25</f>
        <v>1435167.5699999998</v>
      </c>
      <c r="G26" s="25">
        <f>G16+G25</f>
        <v>1175779.8900000001</v>
      </c>
      <c r="H26" s="25">
        <f>H16+H25</f>
        <v>554964.8599999999</v>
      </c>
    </row>
    <row r="27" spans="3:8" s="3" customFormat="1" ht="21">
      <c r="C27" s="16"/>
      <c r="D27" s="17"/>
      <c r="E27" s="17"/>
      <c r="F27" s="18"/>
      <c r="G27" s="18"/>
      <c r="H27" s="18"/>
    </row>
    <row r="28" spans="3:8" s="3" customFormat="1" ht="21">
      <c r="C28" s="16"/>
      <c r="D28" s="17"/>
      <c r="E28" s="17"/>
      <c r="F28" s="18"/>
      <c r="G28" s="18"/>
      <c r="H28" s="18"/>
    </row>
    <row r="29" spans="7:8" s="3" customFormat="1" ht="21">
      <c r="G29" s="8"/>
      <c r="H29" s="8" t="s">
        <v>20</v>
      </c>
    </row>
    <row r="30" spans="3:8" s="3" customFormat="1" ht="25.5">
      <c r="C30" s="170" t="s">
        <v>120</v>
      </c>
      <c r="D30" s="171"/>
      <c r="E30" s="171"/>
      <c r="F30" s="171"/>
      <c r="G30" s="171"/>
      <c r="H30" s="172"/>
    </row>
    <row r="31" spans="3:8" s="3" customFormat="1" ht="63">
      <c r="C31" s="184" t="s">
        <v>121</v>
      </c>
      <c r="D31" s="185"/>
      <c r="E31" s="185"/>
      <c r="F31" s="186"/>
      <c r="G31" s="41" t="s">
        <v>21</v>
      </c>
      <c r="H31" s="54" t="s">
        <v>126</v>
      </c>
    </row>
    <row r="32" spans="3:8" s="3" customFormat="1" ht="180.75" customHeight="1">
      <c r="C32" s="201" t="s">
        <v>123</v>
      </c>
      <c r="D32" s="202"/>
      <c r="E32" s="202"/>
      <c r="F32" s="203"/>
      <c r="G32" s="57">
        <f>F14</f>
        <v>390400.22</v>
      </c>
      <c r="H32" s="57">
        <f>H14</f>
        <v>263599.20999999996</v>
      </c>
    </row>
    <row r="33" spans="3:8" s="3" customFormat="1" ht="25.5">
      <c r="C33" s="170" t="s">
        <v>119</v>
      </c>
      <c r="D33" s="171"/>
      <c r="E33" s="171"/>
      <c r="F33" s="171"/>
      <c r="G33" s="171"/>
      <c r="H33" s="172"/>
    </row>
    <row r="34" spans="3:8" s="3" customFormat="1" ht="63">
      <c r="C34" s="196" t="s">
        <v>132</v>
      </c>
      <c r="D34" s="197"/>
      <c r="E34" s="178" t="s">
        <v>121</v>
      </c>
      <c r="F34" s="179"/>
      <c r="G34" s="180"/>
      <c r="H34" s="89" t="s">
        <v>128</v>
      </c>
    </row>
    <row r="35" spans="3:8" s="3" customFormat="1" ht="21">
      <c r="C35" s="118"/>
      <c r="D35" s="113">
        <v>61260.71</v>
      </c>
      <c r="E35" s="219" t="s">
        <v>186</v>
      </c>
      <c r="F35" s="262"/>
      <c r="G35" s="28">
        <v>170</v>
      </c>
      <c r="H35" s="24"/>
    </row>
    <row r="36" spans="3:8" s="3" customFormat="1" ht="21">
      <c r="C36" s="111"/>
      <c r="D36" s="114"/>
      <c r="E36" s="219" t="s">
        <v>91</v>
      </c>
      <c r="F36" s="262"/>
      <c r="G36" s="28">
        <f>18+90+60+500</f>
        <v>668</v>
      </c>
      <c r="H36" s="24"/>
    </row>
    <row r="37" spans="3:8" s="3" customFormat="1" ht="21">
      <c r="C37" s="111"/>
      <c r="D37" s="114"/>
      <c r="E37" s="219" t="s">
        <v>187</v>
      </c>
      <c r="F37" s="262"/>
      <c r="G37" s="28">
        <f>230+105</f>
        <v>335</v>
      </c>
      <c r="H37" s="24"/>
    </row>
    <row r="38" spans="3:8" s="3" customFormat="1" ht="21">
      <c r="C38" s="111"/>
      <c r="D38" s="114"/>
      <c r="E38" s="219" t="s">
        <v>188</v>
      </c>
      <c r="F38" s="262"/>
      <c r="G38" s="28">
        <f>115+63+207</f>
        <v>385</v>
      </c>
      <c r="H38" s="24"/>
    </row>
    <row r="39" spans="3:8" s="3" customFormat="1" ht="21">
      <c r="C39" s="111"/>
      <c r="D39" s="114"/>
      <c r="E39" s="219" t="s">
        <v>96</v>
      </c>
      <c r="F39" s="262"/>
      <c r="G39" s="28">
        <v>64000</v>
      </c>
      <c r="H39" s="24"/>
    </row>
    <row r="40" spans="3:8" s="3" customFormat="1" ht="21">
      <c r="C40" s="111"/>
      <c r="D40" s="114"/>
      <c r="E40" s="219" t="s">
        <v>189</v>
      </c>
      <c r="F40" s="262"/>
      <c r="G40" s="28">
        <f>15000+204+27.37+144.5+153+1644.75+47.6+249.9+544+1989+51+581.4+2826.25+8019.75+136+1785+100+13+39+15+97+100+70+86+43+31.2</f>
        <v>33997.72</v>
      </c>
      <c r="H40" s="24"/>
    </row>
    <row r="41" spans="3:8" s="3" customFormat="1" ht="21">
      <c r="C41" s="111"/>
      <c r="D41" s="114"/>
      <c r="E41" s="219"/>
      <c r="F41" s="262"/>
      <c r="G41" s="28"/>
      <c r="H41" s="24"/>
    </row>
    <row r="42" spans="3:8" s="3" customFormat="1" ht="21">
      <c r="C42" s="111"/>
      <c r="D42" s="114"/>
      <c r="E42" s="217" t="s">
        <v>140</v>
      </c>
      <c r="F42" s="264"/>
      <c r="G42" s="29">
        <f>SUM(G35:G41)</f>
        <v>99555.72</v>
      </c>
      <c r="H42" s="26">
        <f>G15-G42</f>
        <v>-55692.270000000004</v>
      </c>
    </row>
    <row r="43" spans="3:8" s="3" customFormat="1" ht="21">
      <c r="C43" s="112"/>
      <c r="D43" s="123"/>
      <c r="E43" s="217" t="s">
        <v>141</v>
      </c>
      <c r="F43" s="264"/>
      <c r="G43" s="29"/>
      <c r="H43" s="26">
        <f>H42+D35</f>
        <v>5568.439999999995</v>
      </c>
    </row>
    <row r="44" spans="3:8" s="3" customFormat="1" ht="21" customHeight="1">
      <c r="C44" s="145">
        <v>3</v>
      </c>
      <c r="D44" s="4" t="s">
        <v>22</v>
      </c>
      <c r="E44" s="263"/>
      <c r="F44" s="263"/>
      <c r="G44" s="19"/>
      <c r="H44" s="11"/>
    </row>
    <row r="45" spans="3:8" s="3" customFormat="1" ht="21">
      <c r="C45" s="239"/>
      <c r="D45" s="240"/>
      <c r="E45" s="231"/>
      <c r="F45" s="231"/>
      <c r="G45" s="19"/>
      <c r="H45" s="11"/>
    </row>
    <row r="46" spans="3:8" s="3" customFormat="1" ht="21">
      <c r="C46" s="240"/>
      <c r="D46" s="240"/>
      <c r="E46" s="263"/>
      <c r="F46" s="263"/>
      <c r="G46" s="19"/>
      <c r="H46" s="11"/>
    </row>
    <row r="47" spans="3:8" s="3" customFormat="1" ht="21">
      <c r="C47" s="240"/>
      <c r="D47" s="240"/>
      <c r="E47" s="231"/>
      <c r="F47" s="231"/>
      <c r="G47" s="19"/>
      <c r="H47" s="11"/>
    </row>
    <row r="48" s="6" customFormat="1" ht="21">
      <c r="C48" s="3"/>
    </row>
    <row r="49" spans="3:8" s="6" customFormat="1" ht="25.5">
      <c r="C49" s="170" t="s">
        <v>201</v>
      </c>
      <c r="D49" s="171"/>
      <c r="E49" s="171"/>
      <c r="F49" s="171"/>
      <c r="G49" s="171"/>
      <c r="H49" s="172"/>
    </row>
    <row r="50" spans="3:8" s="6" customFormat="1" ht="63">
      <c r="C50" s="184" t="s">
        <v>121</v>
      </c>
      <c r="D50" s="185"/>
      <c r="E50" s="185"/>
      <c r="F50" s="186"/>
      <c r="G50" s="41" t="s">
        <v>21</v>
      </c>
      <c r="H50" s="54" t="s">
        <v>126</v>
      </c>
    </row>
    <row r="51" spans="3:8" s="6" customFormat="1" ht="21">
      <c r="C51" s="167" t="s">
        <v>202</v>
      </c>
      <c r="D51" s="168"/>
      <c r="E51" s="168"/>
      <c r="F51" s="169"/>
      <c r="G51" s="57">
        <v>1076.9</v>
      </c>
      <c r="H51" s="57">
        <f>G51</f>
        <v>1076.9</v>
      </c>
    </row>
    <row r="52" spans="4:6" s="5" customFormat="1" ht="26.25">
      <c r="D52" s="1" t="s">
        <v>106</v>
      </c>
      <c r="E52" s="1"/>
      <c r="F52"/>
    </row>
    <row r="53" spans="4:5" ht="26.25">
      <c r="D53" s="1" t="s">
        <v>107</v>
      </c>
      <c r="E53" s="1"/>
    </row>
    <row r="55" ht="15">
      <c r="G55" s="23">
        <f>G26</f>
        <v>1175779.8900000001</v>
      </c>
    </row>
    <row r="56" ht="15">
      <c r="G56">
        <v>5433.75</v>
      </c>
    </row>
    <row r="57" ht="15">
      <c r="G57">
        <v>1246.01</v>
      </c>
    </row>
    <row r="58" ht="15">
      <c r="G58">
        <v>24175.29</v>
      </c>
    </row>
    <row r="59" ht="15">
      <c r="G59">
        <v>84539.1</v>
      </c>
    </row>
    <row r="60" ht="15">
      <c r="G60" s="23">
        <f>SUM(G55:G59)</f>
        <v>1291174.0400000003</v>
      </c>
    </row>
  </sheetData>
  <sheetProtection/>
  <mergeCells count="26">
    <mergeCell ref="C49:H49"/>
    <mergeCell ref="C50:F50"/>
    <mergeCell ref="C51:F51"/>
    <mergeCell ref="C13:H13"/>
    <mergeCell ref="C17:H17"/>
    <mergeCell ref="C45:C47"/>
    <mergeCell ref="D45:D47"/>
    <mergeCell ref="E36:F36"/>
    <mergeCell ref="E37:F37"/>
    <mergeCell ref="C30:H30"/>
    <mergeCell ref="C31:F31"/>
    <mergeCell ref="C32:F32"/>
    <mergeCell ref="C33:H33"/>
    <mergeCell ref="C34:D34"/>
    <mergeCell ref="E34:G34"/>
    <mergeCell ref="E35:F35"/>
    <mergeCell ref="E38:F38"/>
    <mergeCell ref="E43:F43"/>
    <mergeCell ref="E39:F39"/>
    <mergeCell ref="E40:F40"/>
    <mergeCell ref="E41:F41"/>
    <mergeCell ref="E42:F42"/>
    <mergeCell ref="E44:F44"/>
    <mergeCell ref="E45:F45"/>
    <mergeCell ref="E46:F46"/>
    <mergeCell ref="E47:F47"/>
  </mergeCells>
  <printOptions/>
  <pageMargins left="0.25" right="0.25" top="0.75" bottom="0.75" header="0.3" footer="0.3"/>
  <pageSetup horizontalDpi="600" verticalDpi="600" orientation="landscape" paperSize="9" scale="59" r:id="rId2"/>
  <rowBreaks count="1" manualBreakCount="1">
    <brk id="28" min="2" max="7" man="1"/>
  </rowBreaks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C1:J61"/>
  <sheetViews>
    <sheetView view="pageBreakPreview" zoomScale="73" zoomScaleSheetLayoutView="73" zoomScalePageLayoutView="0" workbookViewId="0" topLeftCell="A34">
      <selection activeCell="C50" sqref="C50:H52"/>
    </sheetView>
  </sheetViews>
  <sheetFormatPr defaultColWidth="9.140625" defaultRowHeight="15"/>
  <cols>
    <col min="1" max="2" width="9.140625" style="37" customWidth="1"/>
    <col min="3" max="3" width="9.00390625" style="37" customWidth="1"/>
    <col min="4" max="5" width="40.421875" style="37" customWidth="1"/>
    <col min="6" max="6" width="48.57421875" style="37" customWidth="1"/>
    <col min="7" max="7" width="34.140625" style="37" customWidth="1"/>
    <col min="8" max="8" width="31.140625" style="37" customWidth="1"/>
    <col min="9" max="9" width="19.28125" style="37" customWidth="1"/>
    <col min="10" max="10" width="19.421875" style="37" customWidth="1"/>
    <col min="11" max="16384" width="9.140625" style="37" customWidth="1"/>
  </cols>
  <sheetData>
    <row r="1" spans="4:7" s="35" customFormat="1" ht="28.5">
      <c r="D1" s="36" t="s">
        <v>24</v>
      </c>
      <c r="E1" s="36"/>
      <c r="F1" s="36"/>
      <c r="G1" s="36"/>
    </row>
    <row r="2" spans="4:7" s="35" customFormat="1" ht="28.5">
      <c r="D2" s="36" t="s">
        <v>25</v>
      </c>
      <c r="E2" s="36"/>
      <c r="F2" s="36"/>
      <c r="G2" s="36"/>
    </row>
    <row r="3" spans="4:8" ht="18.75">
      <c r="D3" s="38" t="s">
        <v>26</v>
      </c>
      <c r="E3" s="38"/>
      <c r="F3" s="38"/>
      <c r="G3" s="38"/>
      <c r="H3" s="39"/>
    </row>
    <row r="4" spans="4:8" ht="18.75">
      <c r="D4" s="38" t="s">
        <v>27</v>
      </c>
      <c r="E4" s="38"/>
      <c r="F4" s="38"/>
      <c r="G4" s="38"/>
      <c r="H4" s="39"/>
    </row>
    <row r="5" spans="4:8" ht="15">
      <c r="D5" s="39"/>
      <c r="E5" s="39"/>
      <c r="F5" s="39"/>
      <c r="G5" s="39"/>
      <c r="H5" s="39"/>
    </row>
    <row r="6" spans="4:7" s="40" customFormat="1" ht="26.25">
      <c r="D6" s="35" t="s">
        <v>28</v>
      </c>
      <c r="E6" s="35"/>
      <c r="F6" s="35"/>
      <c r="G6" s="35"/>
    </row>
    <row r="7" spans="4:7" s="40" customFormat="1" ht="26.25">
      <c r="D7" s="35" t="s">
        <v>85</v>
      </c>
      <c r="E7" s="35"/>
      <c r="F7" s="35"/>
      <c r="G7" s="35"/>
    </row>
    <row r="8" spans="4:7" s="40" customFormat="1" ht="26.25">
      <c r="D8" s="35" t="s">
        <v>125</v>
      </c>
      <c r="E8" s="35"/>
      <c r="F8" s="35"/>
      <c r="G8" s="35"/>
    </row>
    <row r="9" spans="4:8" ht="15">
      <c r="D9" s="39"/>
      <c r="E9" s="39"/>
      <c r="F9" s="39"/>
      <c r="G9" s="39"/>
      <c r="H9" s="39"/>
    </row>
    <row r="10" spans="3:8" ht="21">
      <c r="C10" s="40" t="s">
        <v>76</v>
      </c>
      <c r="D10" s="39"/>
      <c r="E10" s="39"/>
      <c r="F10" s="39"/>
      <c r="G10" s="39"/>
      <c r="H10" s="39"/>
    </row>
    <row r="11" s="40" customFormat="1" ht="34.5" customHeight="1">
      <c r="H11" s="53" t="s">
        <v>18</v>
      </c>
    </row>
    <row r="12" spans="3:8" s="42" customFormat="1" ht="40.5">
      <c r="C12" s="41" t="s">
        <v>11</v>
      </c>
      <c r="D12" s="41" t="s">
        <v>12</v>
      </c>
      <c r="E12" s="41" t="s">
        <v>114</v>
      </c>
      <c r="F12" s="41" t="s">
        <v>13</v>
      </c>
      <c r="G12" s="41" t="s">
        <v>14</v>
      </c>
      <c r="H12" s="41" t="s">
        <v>10</v>
      </c>
    </row>
    <row r="13" spans="3:8" s="40" customFormat="1" ht="21">
      <c r="C13" s="181" t="s">
        <v>15</v>
      </c>
      <c r="D13" s="182"/>
      <c r="E13" s="182"/>
      <c r="F13" s="182"/>
      <c r="G13" s="182"/>
      <c r="H13" s="183"/>
    </row>
    <row r="14" spans="3:8" s="40" customFormat="1" ht="21">
      <c r="C14" s="15">
        <v>1</v>
      </c>
      <c r="D14" s="15" t="s">
        <v>16</v>
      </c>
      <c r="E14" s="43">
        <v>31507.44</v>
      </c>
      <c r="F14" s="43">
        <v>445333.1</v>
      </c>
      <c r="G14" s="43">
        <v>166198.44</v>
      </c>
      <c r="H14" s="43">
        <f>E14+F14-G14</f>
        <v>310642.1</v>
      </c>
    </row>
    <row r="15" spans="3:8" s="40" customFormat="1" ht="21">
      <c r="C15" s="15">
        <v>2</v>
      </c>
      <c r="D15" s="15" t="s">
        <v>17</v>
      </c>
      <c r="E15" s="43">
        <v>-2801.91</v>
      </c>
      <c r="F15" s="43">
        <v>-3754.31</v>
      </c>
      <c r="G15" s="43">
        <v>956.13</v>
      </c>
      <c r="H15" s="43">
        <f>E15+F15-G15</f>
        <v>-7512.349999999999</v>
      </c>
    </row>
    <row r="16" spans="3:8" s="40" customFormat="1" ht="42">
      <c r="C16" s="15">
        <v>3</v>
      </c>
      <c r="D16" s="67" t="s">
        <v>87</v>
      </c>
      <c r="E16" s="43">
        <v>3227.69</v>
      </c>
      <c r="F16" s="43">
        <v>18800</v>
      </c>
      <c r="G16" s="43">
        <v>15524.62</v>
      </c>
      <c r="H16" s="43">
        <f>E16+F16-G16</f>
        <v>6503.069999999998</v>
      </c>
    </row>
    <row r="17" spans="3:8" s="40" customFormat="1" ht="41.25">
      <c r="C17" s="15"/>
      <c r="D17" s="44" t="s">
        <v>0</v>
      </c>
      <c r="E17" s="45">
        <f>SUM(E14:E16)</f>
        <v>31933.219999999998</v>
      </c>
      <c r="F17" s="45">
        <f>SUM(F14:F16)</f>
        <v>460378.79</v>
      </c>
      <c r="G17" s="45">
        <f>SUM(G14:G16)</f>
        <v>182679.19</v>
      </c>
      <c r="H17" s="45">
        <f>SUM(H14:H16)</f>
        <v>309632.82</v>
      </c>
    </row>
    <row r="18" spans="3:8" s="40" customFormat="1" ht="21">
      <c r="C18" s="181" t="s">
        <v>19</v>
      </c>
      <c r="D18" s="182"/>
      <c r="E18" s="182"/>
      <c r="F18" s="182"/>
      <c r="G18" s="182"/>
      <c r="H18" s="183"/>
    </row>
    <row r="19" spans="3:8" s="40" customFormat="1" ht="21">
      <c r="C19" s="15">
        <v>4</v>
      </c>
      <c r="D19" s="15" t="s">
        <v>1</v>
      </c>
      <c r="E19" s="43">
        <v>191582.05</v>
      </c>
      <c r="F19" s="47">
        <v>566422.98</v>
      </c>
      <c r="G19" s="47">
        <v>621554.12</v>
      </c>
      <c r="H19" s="47">
        <f>E19+F19-G19</f>
        <v>136450.91000000003</v>
      </c>
    </row>
    <row r="20" spans="3:8" s="40" customFormat="1" ht="21">
      <c r="C20" s="15">
        <v>5</v>
      </c>
      <c r="D20" s="15" t="s">
        <v>4</v>
      </c>
      <c r="E20" s="43">
        <v>15764.99</v>
      </c>
      <c r="F20" s="47">
        <f>99342.09+12558.78+2700.31</f>
        <v>114601.18</v>
      </c>
      <c r="G20" s="47">
        <f>75932.5+8636.92+2382.24</f>
        <v>86951.66</v>
      </c>
      <c r="H20" s="47">
        <f>E20+F20-G20</f>
        <v>43414.509999999995</v>
      </c>
    </row>
    <row r="21" spans="3:8" s="40" customFormat="1" ht="21">
      <c r="C21" s="15">
        <v>6</v>
      </c>
      <c r="D21" s="48" t="s">
        <v>2</v>
      </c>
      <c r="E21" s="49">
        <v>5775.14</v>
      </c>
      <c r="F21" s="47">
        <v>27421.48</v>
      </c>
      <c r="G21" s="47">
        <f>23.34+21821.93</f>
        <v>21845.27</v>
      </c>
      <c r="H21" s="47">
        <f>E21+F21-G21</f>
        <v>11351.350000000002</v>
      </c>
    </row>
    <row r="22" spans="3:8" s="40" customFormat="1" ht="21">
      <c r="C22" s="15">
        <v>7</v>
      </c>
      <c r="D22" s="48" t="s">
        <v>7</v>
      </c>
      <c r="E22" s="49">
        <v>12164.63</v>
      </c>
      <c r="F22" s="47">
        <v>165865.95</v>
      </c>
      <c r="G22" s="47">
        <v>137671.48</v>
      </c>
      <c r="H22" s="47">
        <f>E22+F22-G22</f>
        <v>40359.100000000006</v>
      </c>
    </row>
    <row r="23" spans="3:8" s="40" customFormat="1" ht="21">
      <c r="C23" s="15">
        <v>8</v>
      </c>
      <c r="D23" s="48" t="s">
        <v>77</v>
      </c>
      <c r="E23" s="49">
        <v>11932.2</v>
      </c>
      <c r="F23" s="47">
        <v>102775.84</v>
      </c>
      <c r="G23" s="47">
        <f>81288.06+1263.74</f>
        <v>82551.8</v>
      </c>
      <c r="H23" s="47">
        <f>E23+F23-G23</f>
        <v>32156.23999999999</v>
      </c>
    </row>
    <row r="24" spans="3:8" s="40" customFormat="1" ht="41.25">
      <c r="C24" s="15"/>
      <c r="D24" s="44" t="s">
        <v>5</v>
      </c>
      <c r="E24" s="45">
        <f>SUM(E19:E23)</f>
        <v>237219.01</v>
      </c>
      <c r="F24" s="45">
        <f>SUM(F19:F23)</f>
        <v>977087.4299999998</v>
      </c>
      <c r="G24" s="45">
        <f>SUM(G19:G23)</f>
        <v>950574.3300000001</v>
      </c>
      <c r="H24" s="45">
        <f>SUM(H19:H23)</f>
        <v>263732.11000000004</v>
      </c>
    </row>
    <row r="25" spans="3:9" s="40" customFormat="1" ht="41.25">
      <c r="C25" s="15"/>
      <c r="D25" s="44" t="s">
        <v>6</v>
      </c>
      <c r="E25" s="45">
        <f>E17+E24</f>
        <v>269152.23</v>
      </c>
      <c r="F25" s="45">
        <f>F17+F24</f>
        <v>1437466.2199999997</v>
      </c>
      <c r="G25" s="45">
        <f>G17+G24</f>
        <v>1133253.52</v>
      </c>
      <c r="H25" s="45">
        <f>H17+H24</f>
        <v>573364.93</v>
      </c>
      <c r="I25" s="69"/>
    </row>
    <row r="26" spans="3:9" s="40" customFormat="1" ht="21">
      <c r="C26" s="50"/>
      <c r="D26" s="51"/>
      <c r="E26" s="51"/>
      <c r="F26" s="52"/>
      <c r="G26" s="52"/>
      <c r="H26" s="52"/>
      <c r="I26" s="78"/>
    </row>
    <row r="27" spans="3:8" s="40" customFormat="1" ht="21">
      <c r="C27" s="50"/>
      <c r="D27" s="51"/>
      <c r="E27" s="51"/>
      <c r="F27" s="52"/>
      <c r="G27" s="52"/>
      <c r="H27" s="52"/>
    </row>
    <row r="28" spans="7:8" s="40" customFormat="1" ht="21">
      <c r="G28" s="53"/>
      <c r="H28" s="53" t="s">
        <v>20</v>
      </c>
    </row>
    <row r="29" spans="3:8" s="40" customFormat="1" ht="25.5">
      <c r="C29" s="170" t="s">
        <v>120</v>
      </c>
      <c r="D29" s="171"/>
      <c r="E29" s="171"/>
      <c r="F29" s="171"/>
      <c r="G29" s="171"/>
      <c r="H29" s="172"/>
    </row>
    <row r="30" spans="3:8" s="40" customFormat="1" ht="42">
      <c r="C30" s="184" t="s">
        <v>121</v>
      </c>
      <c r="D30" s="185"/>
      <c r="E30" s="185"/>
      <c r="F30" s="186"/>
      <c r="G30" s="41" t="s">
        <v>21</v>
      </c>
      <c r="H30" s="54" t="s">
        <v>126</v>
      </c>
    </row>
    <row r="31" spans="3:8" s="40" customFormat="1" ht="177" customHeight="1">
      <c r="C31" s="201" t="s">
        <v>123</v>
      </c>
      <c r="D31" s="202"/>
      <c r="E31" s="202"/>
      <c r="F31" s="203"/>
      <c r="G31" s="57">
        <f>F14</f>
        <v>445333.1</v>
      </c>
      <c r="H31" s="57">
        <f>H14</f>
        <v>310642.1</v>
      </c>
    </row>
    <row r="32" spans="3:8" s="40" customFormat="1" ht="25.5">
      <c r="C32" s="170" t="s">
        <v>119</v>
      </c>
      <c r="D32" s="171"/>
      <c r="E32" s="171"/>
      <c r="F32" s="171"/>
      <c r="G32" s="171"/>
      <c r="H32" s="172"/>
    </row>
    <row r="33" spans="3:8" s="40" customFormat="1" ht="63">
      <c r="C33" s="196" t="s">
        <v>132</v>
      </c>
      <c r="D33" s="197"/>
      <c r="E33" s="178" t="s">
        <v>121</v>
      </c>
      <c r="F33" s="179"/>
      <c r="G33" s="180"/>
      <c r="H33" s="89" t="s">
        <v>128</v>
      </c>
    </row>
    <row r="34" spans="3:8" s="40" customFormat="1" ht="21">
      <c r="C34" s="103"/>
      <c r="D34" s="104">
        <v>13932.41</v>
      </c>
      <c r="E34" s="192" t="s">
        <v>190</v>
      </c>
      <c r="F34" s="165"/>
      <c r="G34" s="49">
        <v>68145</v>
      </c>
      <c r="H34" s="43"/>
    </row>
    <row r="35" spans="3:8" s="40" customFormat="1" ht="21">
      <c r="C35" s="98"/>
      <c r="D35" s="105"/>
      <c r="E35" s="192" t="s">
        <v>191</v>
      </c>
      <c r="F35" s="165"/>
      <c r="G35" s="49">
        <f>30+1650+160+60+50+100+30+976+716</f>
        <v>3772</v>
      </c>
      <c r="H35" s="43"/>
    </row>
    <row r="36" spans="3:8" s="40" customFormat="1" ht="21">
      <c r="C36" s="98"/>
      <c r="D36" s="105"/>
      <c r="E36" s="192" t="s">
        <v>192</v>
      </c>
      <c r="F36" s="165"/>
      <c r="G36" s="49">
        <v>5000</v>
      </c>
      <c r="H36" s="43"/>
    </row>
    <row r="37" spans="3:8" s="40" customFormat="1" ht="21">
      <c r="C37" s="98"/>
      <c r="D37" s="105"/>
      <c r="E37" s="192" t="s">
        <v>97</v>
      </c>
      <c r="F37" s="165"/>
      <c r="G37" s="49">
        <f>190+92+43+70+330+108</f>
        <v>833</v>
      </c>
      <c r="H37" s="43"/>
    </row>
    <row r="38" spans="3:8" s="40" customFormat="1" ht="21">
      <c r="C38" s="98"/>
      <c r="D38" s="105"/>
      <c r="E38" s="192" t="s">
        <v>193</v>
      </c>
      <c r="F38" s="165"/>
      <c r="G38" s="49">
        <f>42550+10000+24850+18500+425+2343+207.84</f>
        <v>98875.84</v>
      </c>
      <c r="H38" s="43"/>
    </row>
    <row r="39" spans="3:8" s="40" customFormat="1" ht="21">
      <c r="C39" s="98"/>
      <c r="D39" s="105"/>
      <c r="E39" s="192"/>
      <c r="F39" s="165"/>
      <c r="G39" s="49"/>
      <c r="H39" s="43"/>
    </row>
    <row r="40" spans="3:8" s="40" customFormat="1" ht="21">
      <c r="C40" s="98"/>
      <c r="D40" s="106"/>
      <c r="E40" s="160" t="s">
        <v>140</v>
      </c>
      <c r="F40" s="195"/>
      <c r="G40" s="68">
        <f>SUM(G34:G39)</f>
        <v>176625.84</v>
      </c>
      <c r="H40" s="76">
        <f>G15-G40</f>
        <v>-175669.71</v>
      </c>
    </row>
    <row r="41" spans="3:8" s="40" customFormat="1" ht="21">
      <c r="C41" s="99"/>
      <c r="D41" s="107"/>
      <c r="E41" s="160" t="s">
        <v>141</v>
      </c>
      <c r="F41" s="195"/>
      <c r="G41" s="68"/>
      <c r="H41" s="76">
        <f>H40+D34</f>
        <v>-161737.3</v>
      </c>
    </row>
    <row r="42" spans="3:8" s="40" customFormat="1" ht="21">
      <c r="C42" s="96">
        <v>3</v>
      </c>
      <c r="D42" s="94" t="s">
        <v>22</v>
      </c>
      <c r="E42" s="207"/>
      <c r="F42" s="207"/>
      <c r="G42" s="58"/>
      <c r="H42" s="15"/>
    </row>
    <row r="43" spans="3:8" s="40" customFormat="1" ht="21">
      <c r="C43" s="198"/>
      <c r="D43" s="200"/>
      <c r="E43" s="265"/>
      <c r="F43" s="265"/>
      <c r="G43" s="58"/>
      <c r="H43" s="15"/>
    </row>
    <row r="44" spans="3:8" s="40" customFormat="1" ht="21">
      <c r="C44" s="175"/>
      <c r="D44" s="175"/>
      <c r="E44" s="164"/>
      <c r="F44" s="164"/>
      <c r="G44" s="58"/>
      <c r="H44" s="15"/>
    </row>
    <row r="45" spans="3:8" s="40" customFormat="1" ht="21">
      <c r="C45" s="120"/>
      <c r="D45" s="120"/>
      <c r="E45" s="120"/>
      <c r="F45" s="121"/>
      <c r="G45" s="95"/>
      <c r="H45" s="122"/>
    </row>
    <row r="46" spans="3:9" s="66" customFormat="1" ht="21">
      <c r="C46" s="120"/>
      <c r="D46" s="120"/>
      <c r="E46" s="120"/>
      <c r="F46" s="121"/>
      <c r="G46" s="95"/>
      <c r="H46" s="122"/>
      <c r="I46" s="53" t="s">
        <v>47</v>
      </c>
    </row>
    <row r="47" spans="3:10" s="64" customFormat="1" ht="60.75">
      <c r="C47" s="41" t="s">
        <v>11</v>
      </c>
      <c r="D47" s="41" t="s">
        <v>50</v>
      </c>
      <c r="E47" s="41" t="s">
        <v>180</v>
      </c>
      <c r="F47" s="41" t="s">
        <v>114</v>
      </c>
      <c r="G47" s="41" t="s">
        <v>181</v>
      </c>
      <c r="H47" s="41" t="s">
        <v>170</v>
      </c>
      <c r="I47" s="41" t="s">
        <v>168</v>
      </c>
      <c r="J47" s="41" t="s">
        <v>49</v>
      </c>
    </row>
    <row r="48" spans="3:10" ht="21">
      <c r="C48" s="15">
        <v>1</v>
      </c>
      <c r="D48" s="15" t="s">
        <v>101</v>
      </c>
      <c r="E48" s="43">
        <v>206576.44</v>
      </c>
      <c r="F48" s="43">
        <v>18224.83</v>
      </c>
      <c r="G48" s="43">
        <v>114561.68</v>
      </c>
      <c r="H48" s="65">
        <v>119814.91</v>
      </c>
      <c r="I48" s="43">
        <f>F48+G48-H48</f>
        <v>12971.600000000006</v>
      </c>
      <c r="J48" s="146">
        <f>E48-G48</f>
        <v>92014.76000000001</v>
      </c>
    </row>
    <row r="49" spans="3:9" ht="15">
      <c r="C49" s="64"/>
      <c r="D49" s="64"/>
      <c r="E49" s="64"/>
      <c r="F49" s="64"/>
      <c r="G49" s="64"/>
      <c r="H49" s="64"/>
      <c r="I49" s="64"/>
    </row>
    <row r="50" spans="3:9" ht="25.5">
      <c r="C50" s="170" t="s">
        <v>201</v>
      </c>
      <c r="D50" s="171"/>
      <c r="E50" s="171"/>
      <c r="F50" s="171"/>
      <c r="G50" s="171"/>
      <c r="H50" s="172"/>
      <c r="I50" s="64"/>
    </row>
    <row r="51" spans="3:9" ht="42">
      <c r="C51" s="184" t="s">
        <v>121</v>
      </c>
      <c r="D51" s="185"/>
      <c r="E51" s="185"/>
      <c r="F51" s="186"/>
      <c r="G51" s="41" t="s">
        <v>21</v>
      </c>
      <c r="H51" s="54" t="s">
        <v>126</v>
      </c>
      <c r="I51" s="64"/>
    </row>
    <row r="52" spans="3:9" ht="21">
      <c r="C52" s="167" t="s">
        <v>202</v>
      </c>
      <c r="D52" s="168"/>
      <c r="E52" s="168"/>
      <c r="F52" s="169"/>
      <c r="G52" s="57">
        <v>1051.55</v>
      </c>
      <c r="H52" s="57">
        <f>G52</f>
        <v>1051.55</v>
      </c>
      <c r="I52" s="64"/>
    </row>
    <row r="53" spans="3:9" ht="21">
      <c r="C53" s="155"/>
      <c r="D53" s="155"/>
      <c r="E53" s="155"/>
      <c r="F53" s="155"/>
      <c r="G53" s="156"/>
      <c r="H53" s="156"/>
      <c r="I53" s="64"/>
    </row>
    <row r="54" spans="4:5" ht="26.25">
      <c r="D54" s="35" t="s">
        <v>106</v>
      </c>
      <c r="E54" s="35"/>
    </row>
    <row r="55" spans="4:5" ht="26.25">
      <c r="D55" s="35" t="s">
        <v>107</v>
      </c>
      <c r="E55" s="35"/>
    </row>
    <row r="56" ht="15">
      <c r="H56" s="132">
        <f>G25+H48</f>
        <v>1253068.43</v>
      </c>
    </row>
    <row r="57" ht="15">
      <c r="H57" s="37">
        <v>1029.06</v>
      </c>
    </row>
    <row r="58" ht="15">
      <c r="H58" s="37">
        <v>91249.45</v>
      </c>
    </row>
    <row r="59" ht="15">
      <c r="H59" s="37">
        <v>47095.13</v>
      </c>
    </row>
    <row r="60" ht="15">
      <c r="H60" s="37">
        <v>5859.7</v>
      </c>
    </row>
    <row r="61" ht="15">
      <c r="H61" s="132">
        <f>SUM(H56:H60)</f>
        <v>1398301.7699999998</v>
      </c>
    </row>
  </sheetData>
  <sheetProtection/>
  <mergeCells count="24">
    <mergeCell ref="C50:H50"/>
    <mergeCell ref="C51:F51"/>
    <mergeCell ref="C52:F52"/>
    <mergeCell ref="C13:H13"/>
    <mergeCell ref="C18:H18"/>
    <mergeCell ref="C43:C44"/>
    <mergeCell ref="D43:D44"/>
    <mergeCell ref="E36:F36"/>
    <mergeCell ref="E35:F35"/>
    <mergeCell ref="C29:H29"/>
    <mergeCell ref="C30:F30"/>
    <mergeCell ref="C31:F31"/>
    <mergeCell ref="C32:H32"/>
    <mergeCell ref="E39:F39"/>
    <mergeCell ref="E38:F38"/>
    <mergeCell ref="C33:D33"/>
    <mergeCell ref="E33:G33"/>
    <mergeCell ref="E34:F34"/>
    <mergeCell ref="E37:F37"/>
    <mergeCell ref="E42:F42"/>
    <mergeCell ref="E43:F43"/>
    <mergeCell ref="E44:F44"/>
    <mergeCell ref="E40:F40"/>
    <mergeCell ref="E41:F41"/>
  </mergeCells>
  <printOptions/>
  <pageMargins left="0.25" right="0.25" top="0.75" bottom="0.75" header="0.3" footer="0.3"/>
  <pageSetup horizontalDpi="600" verticalDpi="600" orientation="landscape" paperSize="9" scale="49" r:id="rId2"/>
  <rowBreaks count="1" manualBreakCount="1">
    <brk id="31" min="2" max="9" man="1"/>
  </rowBreaks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C1:I59"/>
  <sheetViews>
    <sheetView view="pageBreakPreview" zoomScale="73" zoomScaleSheetLayoutView="73" zoomScalePageLayoutView="0" workbookViewId="0" topLeftCell="B47">
      <selection activeCell="C48" sqref="C48:H50"/>
    </sheetView>
  </sheetViews>
  <sheetFormatPr defaultColWidth="9.140625" defaultRowHeight="15"/>
  <cols>
    <col min="3" max="3" width="9.00390625" style="0" customWidth="1"/>
    <col min="4" max="4" width="46.57421875" style="0" customWidth="1"/>
    <col min="5" max="5" width="40.421875" style="0" customWidth="1"/>
    <col min="6" max="6" width="48.57421875" style="0" customWidth="1"/>
    <col min="7" max="7" width="34.140625" style="0" customWidth="1"/>
    <col min="8" max="8" width="32.28125" style="0" customWidth="1"/>
    <col min="9" max="9" width="15.57421875" style="0" bestFit="1" customWidth="1"/>
  </cols>
  <sheetData>
    <row r="1" spans="4:7" s="1" customFormat="1" ht="28.5">
      <c r="D1" s="20" t="s">
        <v>24</v>
      </c>
      <c r="E1" s="20"/>
      <c r="F1" s="20"/>
      <c r="G1" s="20"/>
    </row>
    <row r="2" spans="4:7" s="1" customFormat="1" ht="28.5">
      <c r="D2" s="20" t="s">
        <v>25</v>
      </c>
      <c r="E2" s="20"/>
      <c r="F2" s="20"/>
      <c r="G2" s="20"/>
    </row>
    <row r="3" spans="4:8" ht="18.75">
      <c r="D3" s="2" t="s">
        <v>26</v>
      </c>
      <c r="E3" s="2"/>
      <c r="F3" s="2"/>
      <c r="G3" s="2"/>
      <c r="H3" s="7"/>
    </row>
    <row r="4" spans="4:8" ht="18.75">
      <c r="D4" s="2" t="s">
        <v>27</v>
      </c>
      <c r="E4" s="2"/>
      <c r="F4" s="2"/>
      <c r="G4" s="2"/>
      <c r="H4" s="7"/>
    </row>
    <row r="5" spans="4:8" ht="15">
      <c r="D5" s="7"/>
      <c r="E5" s="7"/>
      <c r="F5" s="7"/>
      <c r="G5" s="7"/>
      <c r="H5" s="7"/>
    </row>
    <row r="6" spans="4:7" s="3" customFormat="1" ht="26.25">
      <c r="D6" s="1" t="s">
        <v>28</v>
      </c>
      <c r="E6" s="1"/>
      <c r="F6" s="1"/>
      <c r="G6" s="1"/>
    </row>
    <row r="7" spans="4:7" s="3" customFormat="1" ht="26.25">
      <c r="D7" s="1" t="s">
        <v>78</v>
      </c>
      <c r="E7" s="1"/>
      <c r="F7" s="1"/>
      <c r="G7" s="1"/>
    </row>
    <row r="8" spans="4:7" s="3" customFormat="1" ht="26.25">
      <c r="D8" s="1" t="s">
        <v>125</v>
      </c>
      <c r="E8" s="1"/>
      <c r="F8" s="1"/>
      <c r="G8" s="1"/>
    </row>
    <row r="9" spans="4:8" ht="15">
      <c r="D9" s="7"/>
      <c r="E9" s="7"/>
      <c r="F9" s="7"/>
      <c r="G9" s="7"/>
      <c r="H9" s="7"/>
    </row>
    <row r="10" spans="3:8" ht="21">
      <c r="C10" s="3" t="s">
        <v>79</v>
      </c>
      <c r="D10" s="7"/>
      <c r="E10" s="7"/>
      <c r="F10" s="7"/>
      <c r="G10" s="7"/>
      <c r="H10" s="7"/>
    </row>
    <row r="11" s="3" customFormat="1" ht="34.5" customHeight="1">
      <c r="H11" s="8" t="s">
        <v>18</v>
      </c>
    </row>
    <row r="12" spans="3:8" s="10" customFormat="1" ht="40.5">
      <c r="C12" s="9" t="s">
        <v>11</v>
      </c>
      <c r="D12" s="9" t="s">
        <v>12</v>
      </c>
      <c r="E12" s="9" t="s">
        <v>114</v>
      </c>
      <c r="F12" s="9" t="s">
        <v>13</v>
      </c>
      <c r="G12" s="9" t="s">
        <v>14</v>
      </c>
      <c r="H12" s="9" t="s">
        <v>10</v>
      </c>
    </row>
    <row r="13" spans="3:8" s="3" customFormat="1" ht="21">
      <c r="C13" s="222" t="s">
        <v>15</v>
      </c>
      <c r="D13" s="223"/>
      <c r="E13" s="223"/>
      <c r="F13" s="223"/>
      <c r="G13" s="223"/>
      <c r="H13" s="224"/>
    </row>
    <row r="14" spans="3:8" s="3" customFormat="1" ht="21">
      <c r="C14" s="11">
        <v>1</v>
      </c>
      <c r="D14" s="11" t="s">
        <v>16</v>
      </c>
      <c r="E14" s="24">
        <v>26345.78</v>
      </c>
      <c r="F14" s="24">
        <v>291604.4</v>
      </c>
      <c r="G14" s="24">
        <v>77986.18</v>
      </c>
      <c r="H14" s="24">
        <f>E14+F14-G14</f>
        <v>239964.00000000006</v>
      </c>
    </row>
    <row r="15" spans="3:8" s="3" customFormat="1" ht="21">
      <c r="C15" s="11">
        <v>2</v>
      </c>
      <c r="D15" s="11" t="s">
        <v>17</v>
      </c>
      <c r="E15" s="24">
        <v>7699.7</v>
      </c>
      <c r="F15" s="24">
        <v>23892.24</v>
      </c>
      <c r="G15" s="24">
        <v>19962.79</v>
      </c>
      <c r="H15" s="24">
        <f>E15+F15-G15</f>
        <v>11629.150000000001</v>
      </c>
    </row>
    <row r="16" spans="3:8" s="3" customFormat="1" ht="21">
      <c r="C16" s="11">
        <v>3</v>
      </c>
      <c r="D16" s="11" t="s">
        <v>87</v>
      </c>
      <c r="E16" s="24"/>
      <c r="F16" s="24">
        <v>10800</v>
      </c>
      <c r="G16" s="24">
        <v>6752.82</v>
      </c>
      <c r="H16" s="24">
        <f>E16+F16-G16</f>
        <v>4047.1800000000003</v>
      </c>
    </row>
    <row r="17" spans="3:8" s="3" customFormat="1" ht="43.5" customHeight="1">
      <c r="C17" s="11"/>
      <c r="D17" s="4" t="s">
        <v>0</v>
      </c>
      <c r="E17" s="25">
        <f>SUM(E14:E16)</f>
        <v>34045.479999999996</v>
      </c>
      <c r="F17" s="25">
        <f>SUM(F14:F16)</f>
        <v>326296.64</v>
      </c>
      <c r="G17" s="25">
        <f>SUM(G14:G16)</f>
        <v>104701.79000000001</v>
      </c>
      <c r="H17" s="25">
        <f>SUM(H14:H16)</f>
        <v>255640.33000000005</v>
      </c>
    </row>
    <row r="18" spans="3:8" s="3" customFormat="1" ht="21">
      <c r="C18" s="222" t="s">
        <v>19</v>
      </c>
      <c r="D18" s="223"/>
      <c r="E18" s="223"/>
      <c r="F18" s="223"/>
      <c r="G18" s="223"/>
      <c r="H18" s="224"/>
    </row>
    <row r="19" spans="3:8" s="3" customFormat="1" ht="21">
      <c r="C19" s="11">
        <v>3</v>
      </c>
      <c r="D19" s="11" t="s">
        <v>1</v>
      </c>
      <c r="E19" s="24">
        <v>85721.97</v>
      </c>
      <c r="F19" s="27">
        <v>157873.97</v>
      </c>
      <c r="G19" s="27">
        <v>184202.96</v>
      </c>
      <c r="H19" s="27">
        <f aca="true" t="shared" si="0" ref="H19:H24">E19+F19-G19</f>
        <v>59392.98000000001</v>
      </c>
    </row>
    <row r="20" spans="3:8" s="3" customFormat="1" ht="21">
      <c r="C20" s="11">
        <v>4</v>
      </c>
      <c r="D20" s="11" t="s">
        <v>4</v>
      </c>
      <c r="E20" s="24">
        <v>26785</v>
      </c>
      <c r="F20" s="27">
        <f>84592.59+10897.7</f>
        <v>95490.29</v>
      </c>
      <c r="G20" s="27">
        <f>66476.49+6682.2</f>
        <v>73158.69</v>
      </c>
      <c r="H20" s="27">
        <f t="shared" si="0"/>
        <v>49116.59999999999</v>
      </c>
    </row>
    <row r="21" spans="3:8" s="3" customFormat="1" ht="21">
      <c r="C21" s="11">
        <v>5</v>
      </c>
      <c r="D21" s="11" t="s">
        <v>7</v>
      </c>
      <c r="E21" s="24">
        <v>33051.45</v>
      </c>
      <c r="F21" s="27">
        <v>131491.04</v>
      </c>
      <c r="G21" s="27">
        <v>55328.72</v>
      </c>
      <c r="H21" s="27">
        <f t="shared" si="0"/>
        <v>109213.76999999999</v>
      </c>
    </row>
    <row r="22" spans="3:8" s="3" customFormat="1" ht="21">
      <c r="C22" s="11">
        <v>6</v>
      </c>
      <c r="D22" s="14" t="s">
        <v>2</v>
      </c>
      <c r="E22" s="28">
        <v>12337.37</v>
      </c>
      <c r="F22" s="27">
        <f>24390.72</f>
        <v>24390.72</v>
      </c>
      <c r="G22" s="27">
        <f>50.12+17174.05</f>
        <v>17224.17</v>
      </c>
      <c r="H22" s="27">
        <f t="shared" si="0"/>
        <v>19503.920000000006</v>
      </c>
    </row>
    <row r="23" spans="3:8" s="3" customFormat="1" ht="21" hidden="1">
      <c r="C23" s="15">
        <v>5</v>
      </c>
      <c r="D23" s="14" t="s">
        <v>7</v>
      </c>
      <c r="E23" s="28"/>
      <c r="F23" s="27"/>
      <c r="G23" s="27"/>
      <c r="H23" s="27">
        <f t="shared" si="0"/>
        <v>0</v>
      </c>
    </row>
    <row r="24" spans="3:8" s="3" customFormat="1" ht="21">
      <c r="C24" s="15">
        <v>7</v>
      </c>
      <c r="D24" s="14" t="s">
        <v>77</v>
      </c>
      <c r="E24" s="28">
        <v>30991.43</v>
      </c>
      <c r="F24" s="27">
        <f>34625+58062.5</f>
        <v>92687.5</v>
      </c>
      <c r="G24" s="27">
        <f>20956.18+50527.76</f>
        <v>71483.94</v>
      </c>
      <c r="H24" s="27">
        <f t="shared" si="0"/>
        <v>52194.98999999999</v>
      </c>
    </row>
    <row r="25" spans="3:8" s="3" customFormat="1" ht="21" hidden="1">
      <c r="C25" s="15">
        <v>7</v>
      </c>
      <c r="D25" s="14" t="s">
        <v>4</v>
      </c>
      <c r="E25" s="28"/>
      <c r="F25" s="27"/>
      <c r="G25" s="27"/>
      <c r="H25" s="27">
        <f>F25-G25</f>
        <v>0</v>
      </c>
    </row>
    <row r="26" spans="3:8" s="3" customFormat="1" ht="41.25">
      <c r="C26" s="11"/>
      <c r="D26" s="4" t="s">
        <v>5</v>
      </c>
      <c r="E26" s="25">
        <f>SUM(E19:E25)</f>
        <v>188887.21999999997</v>
      </c>
      <c r="F26" s="25">
        <f>SUM(F19:F25)</f>
        <v>501933.52</v>
      </c>
      <c r="G26" s="25">
        <f>SUM(G19:G25)</f>
        <v>401398.48</v>
      </c>
      <c r="H26" s="25">
        <f>SUM(H19:H25)</f>
        <v>289422.26</v>
      </c>
    </row>
    <row r="27" spans="3:8" s="3" customFormat="1" ht="41.25">
      <c r="C27" s="11"/>
      <c r="D27" s="4" t="s">
        <v>6</v>
      </c>
      <c r="E27" s="25">
        <f>E17+E26</f>
        <v>222932.69999999995</v>
      </c>
      <c r="F27" s="25">
        <f>F17+F26</f>
        <v>828230.16</v>
      </c>
      <c r="G27" s="25">
        <f>G17+G26</f>
        <v>506100.27</v>
      </c>
      <c r="H27" s="25">
        <f>H17+H26</f>
        <v>545062.5900000001</v>
      </c>
    </row>
    <row r="28" spans="3:9" s="3" customFormat="1" ht="21">
      <c r="C28" s="16"/>
      <c r="D28" s="17"/>
      <c r="E28" s="17"/>
      <c r="F28" s="18"/>
      <c r="G28" s="18"/>
      <c r="H28" s="18"/>
      <c r="I28" s="34"/>
    </row>
    <row r="29" spans="3:8" s="3" customFormat="1" ht="21">
      <c r="C29" s="16"/>
      <c r="D29" s="17"/>
      <c r="E29" s="17"/>
      <c r="F29" s="18"/>
      <c r="G29" s="18"/>
      <c r="H29" s="18"/>
    </row>
    <row r="30" spans="7:8" s="3" customFormat="1" ht="21">
      <c r="G30" s="8"/>
      <c r="H30" s="8" t="s">
        <v>20</v>
      </c>
    </row>
    <row r="31" spans="3:8" s="3" customFormat="1" ht="25.5">
      <c r="C31" s="170" t="s">
        <v>120</v>
      </c>
      <c r="D31" s="171"/>
      <c r="E31" s="171"/>
      <c r="F31" s="171"/>
      <c r="G31" s="171"/>
      <c r="H31" s="172"/>
    </row>
    <row r="32" spans="3:8" s="3" customFormat="1" ht="42">
      <c r="C32" s="184" t="s">
        <v>121</v>
      </c>
      <c r="D32" s="185"/>
      <c r="E32" s="185"/>
      <c r="F32" s="186"/>
      <c r="G32" s="41" t="s">
        <v>21</v>
      </c>
      <c r="H32" s="54" t="s">
        <v>126</v>
      </c>
    </row>
    <row r="33" spans="3:8" s="3" customFormat="1" ht="188.25" customHeight="1">
      <c r="C33" s="201" t="s">
        <v>123</v>
      </c>
      <c r="D33" s="202"/>
      <c r="E33" s="202"/>
      <c r="F33" s="203"/>
      <c r="G33" s="57">
        <f>F14</f>
        <v>291604.4</v>
      </c>
      <c r="H33" s="57">
        <f>H14</f>
        <v>239964.00000000006</v>
      </c>
    </row>
    <row r="34" spans="3:8" s="3" customFormat="1" ht="25.5">
      <c r="C34" s="170" t="s">
        <v>119</v>
      </c>
      <c r="D34" s="171"/>
      <c r="E34" s="171"/>
      <c r="F34" s="171"/>
      <c r="G34" s="171"/>
      <c r="H34" s="172"/>
    </row>
    <row r="35" spans="3:8" s="3" customFormat="1" ht="63">
      <c r="C35" s="196" t="s">
        <v>132</v>
      </c>
      <c r="D35" s="197"/>
      <c r="E35" s="178" t="s">
        <v>121</v>
      </c>
      <c r="F35" s="179"/>
      <c r="G35" s="180"/>
      <c r="H35" s="89" t="s">
        <v>128</v>
      </c>
    </row>
    <row r="36" spans="3:8" s="3" customFormat="1" ht="21">
      <c r="C36" s="118"/>
      <c r="D36" s="113">
        <v>26654</v>
      </c>
      <c r="E36" s="219" t="s">
        <v>97</v>
      </c>
      <c r="F36" s="262"/>
      <c r="G36" s="28">
        <f>568+32+85+118</f>
        <v>803</v>
      </c>
      <c r="H36" s="24"/>
    </row>
    <row r="37" spans="3:8" s="3" customFormat="1" ht="21">
      <c r="C37" s="111"/>
      <c r="D37" s="114"/>
      <c r="E37" s="219" t="s">
        <v>96</v>
      </c>
      <c r="F37" s="262"/>
      <c r="G37" s="28">
        <v>28000</v>
      </c>
      <c r="H37" s="24"/>
    </row>
    <row r="38" spans="3:8" s="3" customFormat="1" ht="21">
      <c r="C38" s="111"/>
      <c r="D38" s="114"/>
      <c r="E38" s="219" t="s">
        <v>194</v>
      </c>
      <c r="F38" s="262"/>
      <c r="G38" s="28">
        <f>420+150</f>
        <v>570</v>
      </c>
      <c r="H38" s="24"/>
    </row>
    <row r="39" spans="3:8" s="3" customFormat="1" ht="21">
      <c r="C39" s="111"/>
      <c r="D39" s="114"/>
      <c r="E39" s="219"/>
      <c r="F39" s="262"/>
      <c r="G39" s="28"/>
      <c r="H39" s="24"/>
    </row>
    <row r="40" spans="3:8" s="3" customFormat="1" ht="21">
      <c r="C40" s="111"/>
      <c r="D40" s="115"/>
      <c r="E40" s="216" t="s">
        <v>140</v>
      </c>
      <c r="F40" s="217"/>
      <c r="G40" s="29">
        <f>SUM(G36:G39)</f>
        <v>29373</v>
      </c>
      <c r="H40" s="30">
        <f>G15-G40</f>
        <v>-9410.21</v>
      </c>
    </row>
    <row r="41" spans="3:8" s="3" customFormat="1" ht="21">
      <c r="C41" s="112"/>
      <c r="D41" s="116"/>
      <c r="E41" s="216" t="s">
        <v>141</v>
      </c>
      <c r="F41" s="217"/>
      <c r="G41" s="29"/>
      <c r="H41" s="30">
        <f>H40+D36</f>
        <v>17243.79</v>
      </c>
    </row>
    <row r="42" spans="3:8" s="3" customFormat="1" ht="21">
      <c r="C42" s="117">
        <v>3</v>
      </c>
      <c r="D42" s="108" t="s">
        <v>22</v>
      </c>
      <c r="E42" s="230"/>
      <c r="F42" s="230"/>
      <c r="G42" s="19"/>
      <c r="H42" s="11"/>
    </row>
    <row r="43" spans="3:8" s="3" customFormat="1" ht="21">
      <c r="C43" s="225"/>
      <c r="D43" s="228"/>
      <c r="E43" s="231"/>
      <c r="F43" s="231"/>
      <c r="G43" s="19"/>
      <c r="H43" s="11"/>
    </row>
    <row r="44" spans="3:8" s="3" customFormat="1" ht="21">
      <c r="C44" s="226"/>
      <c r="D44" s="226"/>
      <c r="E44" s="231"/>
      <c r="F44" s="231"/>
      <c r="G44" s="19"/>
      <c r="H44" s="11"/>
    </row>
    <row r="45" spans="3:8" s="3" customFormat="1" ht="21">
      <c r="C45" s="226"/>
      <c r="D45" s="226"/>
      <c r="E45" s="231"/>
      <c r="F45" s="231"/>
      <c r="G45" s="19"/>
      <c r="H45" s="11"/>
    </row>
    <row r="46" spans="3:8" s="3" customFormat="1" ht="21">
      <c r="C46" s="227"/>
      <c r="D46" s="227"/>
      <c r="E46" s="263"/>
      <c r="F46" s="263"/>
      <c r="G46" s="19"/>
      <c r="H46" s="11"/>
    </row>
    <row r="48" spans="3:8" ht="25.5">
      <c r="C48" s="170" t="s">
        <v>201</v>
      </c>
      <c r="D48" s="171"/>
      <c r="E48" s="171"/>
      <c r="F48" s="171"/>
      <c r="G48" s="171"/>
      <c r="H48" s="172"/>
    </row>
    <row r="49" spans="3:8" ht="42">
      <c r="C49" s="184" t="s">
        <v>121</v>
      </c>
      <c r="D49" s="185"/>
      <c r="E49" s="185"/>
      <c r="F49" s="186"/>
      <c r="G49" s="41" t="s">
        <v>21</v>
      </c>
      <c r="H49" s="54" t="s">
        <v>126</v>
      </c>
    </row>
    <row r="50" spans="3:8" ht="21">
      <c r="C50" s="167" t="s">
        <v>202</v>
      </c>
      <c r="D50" s="168"/>
      <c r="E50" s="168"/>
      <c r="F50" s="169"/>
      <c r="G50" s="57">
        <v>518.55</v>
      </c>
      <c r="H50" s="57">
        <f>G50</f>
        <v>518.55</v>
      </c>
    </row>
    <row r="52" spans="4:5" ht="26.25">
      <c r="D52" s="1" t="s">
        <v>106</v>
      </c>
      <c r="E52" s="1"/>
    </row>
    <row r="53" spans="4:5" ht="26.25">
      <c r="D53" s="1" t="s">
        <v>107</v>
      </c>
      <c r="E53" s="1"/>
    </row>
    <row r="54" ht="15">
      <c r="G54" s="23">
        <f>G27</f>
        <v>506100.27</v>
      </c>
    </row>
    <row r="55" ht="15">
      <c r="G55">
        <v>10326.33</v>
      </c>
    </row>
    <row r="56" ht="15">
      <c r="G56">
        <v>364.19</v>
      </c>
    </row>
    <row r="57" ht="15">
      <c r="G57">
        <v>30768.34</v>
      </c>
    </row>
    <row r="58" ht="15">
      <c r="G58">
        <v>27832.81</v>
      </c>
    </row>
    <row r="59" ht="15">
      <c r="G59" s="23">
        <f>SUM(G54:G58)</f>
        <v>575391.9400000001</v>
      </c>
    </row>
  </sheetData>
  <sheetProtection/>
  <mergeCells count="24">
    <mergeCell ref="C48:H48"/>
    <mergeCell ref="C49:F49"/>
    <mergeCell ref="C50:F50"/>
    <mergeCell ref="C13:H13"/>
    <mergeCell ref="C18:H18"/>
    <mergeCell ref="C43:C46"/>
    <mergeCell ref="D43:D46"/>
    <mergeCell ref="E38:F38"/>
    <mergeCell ref="E37:F37"/>
    <mergeCell ref="C31:H31"/>
    <mergeCell ref="C32:F32"/>
    <mergeCell ref="C33:F33"/>
    <mergeCell ref="C34:H34"/>
    <mergeCell ref="E40:F40"/>
    <mergeCell ref="E41:F41"/>
    <mergeCell ref="C35:D35"/>
    <mergeCell ref="E35:G35"/>
    <mergeCell ref="E36:F36"/>
    <mergeCell ref="E39:F39"/>
    <mergeCell ref="E46:F46"/>
    <mergeCell ref="E42:F42"/>
    <mergeCell ref="E43:F43"/>
    <mergeCell ref="E44:F44"/>
    <mergeCell ref="E45:F45"/>
  </mergeCells>
  <printOptions/>
  <pageMargins left="0.25" right="0.25" top="0.75" bottom="0.75" header="0.3" footer="0.3"/>
  <pageSetup horizontalDpi="600" verticalDpi="600" orientation="landscape" paperSize="9" scale="52" r:id="rId2"/>
  <rowBreaks count="1" manualBreakCount="1">
    <brk id="33" min="2" max="7" man="1"/>
  </rowBreaks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C1:K65"/>
  <sheetViews>
    <sheetView view="pageBreakPreview" zoomScale="73" zoomScaleSheetLayoutView="73" zoomScalePageLayoutView="0" workbookViewId="0" topLeftCell="D35">
      <selection activeCell="H57" sqref="H57"/>
    </sheetView>
  </sheetViews>
  <sheetFormatPr defaultColWidth="9.140625" defaultRowHeight="15"/>
  <cols>
    <col min="3" max="3" width="9.00390625" style="0" customWidth="1"/>
    <col min="4" max="5" width="40.421875" style="0" customWidth="1"/>
    <col min="6" max="6" width="48.57421875" style="0" customWidth="1"/>
    <col min="7" max="7" width="34.140625" style="0" customWidth="1"/>
    <col min="8" max="8" width="31.00390625" style="0" customWidth="1"/>
    <col min="9" max="9" width="20.57421875" style="0" customWidth="1"/>
    <col min="10" max="10" width="19.28125" style="0" customWidth="1"/>
    <col min="11" max="11" width="16.57421875" style="0" customWidth="1"/>
  </cols>
  <sheetData>
    <row r="1" spans="4:7" s="1" customFormat="1" ht="28.5">
      <c r="D1" s="20" t="s">
        <v>24</v>
      </c>
      <c r="E1" s="20"/>
      <c r="F1" s="20"/>
      <c r="G1" s="20"/>
    </row>
    <row r="2" spans="4:7" s="1" customFormat="1" ht="28.5">
      <c r="D2" s="20" t="s">
        <v>25</v>
      </c>
      <c r="E2" s="20"/>
      <c r="F2" s="20"/>
      <c r="G2" s="20"/>
    </row>
    <row r="3" spans="4:8" ht="18.75">
      <c r="D3" s="2" t="s">
        <v>26</v>
      </c>
      <c r="E3" s="2"/>
      <c r="F3" s="2"/>
      <c r="G3" s="2"/>
      <c r="H3" s="7"/>
    </row>
    <row r="4" spans="4:8" ht="18.75">
      <c r="D4" s="2" t="s">
        <v>27</v>
      </c>
      <c r="E4" s="2"/>
      <c r="F4" s="2"/>
      <c r="G4" s="2"/>
      <c r="H4" s="7"/>
    </row>
    <row r="5" spans="4:8" ht="15">
      <c r="D5" s="7"/>
      <c r="E5" s="7"/>
      <c r="F5" s="7"/>
      <c r="G5" s="7"/>
      <c r="H5" s="7"/>
    </row>
    <row r="6" spans="4:7" s="3" customFormat="1" ht="26.25">
      <c r="D6" s="1" t="s">
        <v>28</v>
      </c>
      <c r="E6" s="1"/>
      <c r="F6" s="1"/>
      <c r="G6" s="1"/>
    </row>
    <row r="7" spans="4:7" s="3" customFormat="1" ht="26.25">
      <c r="D7" s="1" t="s">
        <v>86</v>
      </c>
      <c r="E7" s="1"/>
      <c r="F7" s="1"/>
      <c r="G7" s="1"/>
    </row>
    <row r="8" spans="4:7" s="3" customFormat="1" ht="26.25">
      <c r="D8" s="1" t="s">
        <v>125</v>
      </c>
      <c r="E8" s="1"/>
      <c r="F8" s="1"/>
      <c r="G8" s="1"/>
    </row>
    <row r="9" spans="4:8" ht="15">
      <c r="D9" s="7"/>
      <c r="E9" s="7"/>
      <c r="F9" s="7"/>
      <c r="G9" s="7"/>
      <c r="H9" s="7"/>
    </row>
    <row r="10" spans="3:8" ht="21">
      <c r="C10" s="3" t="s">
        <v>102</v>
      </c>
      <c r="D10" s="7"/>
      <c r="E10" s="7"/>
      <c r="F10" s="7"/>
      <c r="G10" s="7"/>
      <c r="H10" s="7"/>
    </row>
    <row r="11" s="3" customFormat="1" ht="34.5" customHeight="1">
      <c r="H11" s="8" t="s">
        <v>18</v>
      </c>
    </row>
    <row r="12" spans="3:8" s="10" customFormat="1" ht="40.5">
      <c r="C12" s="9" t="s">
        <v>11</v>
      </c>
      <c r="D12" s="9" t="s">
        <v>12</v>
      </c>
      <c r="E12" s="9" t="s">
        <v>114</v>
      </c>
      <c r="F12" s="9" t="s">
        <v>13</v>
      </c>
      <c r="G12" s="9" t="s">
        <v>14</v>
      </c>
      <c r="H12" s="9" t="s">
        <v>10</v>
      </c>
    </row>
    <row r="13" spans="3:8" s="3" customFormat="1" ht="21">
      <c r="C13" s="222" t="s">
        <v>15</v>
      </c>
      <c r="D13" s="223"/>
      <c r="E13" s="223"/>
      <c r="F13" s="223"/>
      <c r="G13" s="223"/>
      <c r="H13" s="224"/>
    </row>
    <row r="14" spans="3:8" s="3" customFormat="1" ht="21">
      <c r="C14" s="11">
        <v>1</v>
      </c>
      <c r="D14" s="11" t="s">
        <v>16</v>
      </c>
      <c r="E14" s="24">
        <v>152107.8</v>
      </c>
      <c r="F14" s="24">
        <v>159692.95</v>
      </c>
      <c r="G14" s="24">
        <v>231774.76</v>
      </c>
      <c r="H14" s="24">
        <f aca="true" t="shared" si="0" ref="H14:H19">E14+F14-G14</f>
        <v>80025.98999999999</v>
      </c>
    </row>
    <row r="15" spans="3:8" s="3" customFormat="1" ht="21">
      <c r="C15" s="11">
        <v>2</v>
      </c>
      <c r="D15" s="11" t="s">
        <v>17</v>
      </c>
      <c r="E15" s="24"/>
      <c r="F15" s="24"/>
      <c r="G15" s="24"/>
      <c r="H15" s="24">
        <f t="shared" si="0"/>
        <v>0</v>
      </c>
    </row>
    <row r="16" spans="3:8" s="3" customFormat="1" ht="21">
      <c r="C16" s="11">
        <v>3</v>
      </c>
      <c r="D16" s="11" t="s">
        <v>92</v>
      </c>
      <c r="E16" s="24">
        <v>15876.5</v>
      </c>
      <c r="F16" s="24">
        <v>20175.81</v>
      </c>
      <c r="G16" s="24">
        <v>27142.2</v>
      </c>
      <c r="H16" s="24">
        <f t="shared" si="0"/>
        <v>8910.109999999997</v>
      </c>
    </row>
    <row r="17" spans="3:8" s="3" customFormat="1" ht="21">
      <c r="C17" s="11">
        <v>4</v>
      </c>
      <c r="D17" s="11" t="s">
        <v>88</v>
      </c>
      <c r="E17" s="24">
        <v>2601.7</v>
      </c>
      <c r="F17" s="24">
        <v>1561</v>
      </c>
      <c r="G17" s="24">
        <v>3604.14</v>
      </c>
      <c r="H17" s="24">
        <f t="shared" si="0"/>
        <v>558.56</v>
      </c>
    </row>
    <row r="18" spans="3:8" s="3" customFormat="1" ht="21" hidden="1">
      <c r="C18" s="11">
        <v>4</v>
      </c>
      <c r="D18" s="11" t="s">
        <v>112</v>
      </c>
      <c r="E18" s="24"/>
      <c r="F18" s="24"/>
      <c r="G18" s="24"/>
      <c r="H18" s="24"/>
    </row>
    <row r="19" spans="3:8" s="3" customFormat="1" ht="42">
      <c r="C19" s="11">
        <v>5</v>
      </c>
      <c r="D19" s="22" t="s">
        <v>87</v>
      </c>
      <c r="E19" s="24">
        <v>6524.2</v>
      </c>
      <c r="F19" s="24"/>
      <c r="G19" s="24">
        <v>6704.38</v>
      </c>
      <c r="H19" s="24">
        <f t="shared" si="0"/>
        <v>-180.1800000000003</v>
      </c>
    </row>
    <row r="20" spans="3:8" s="3" customFormat="1" ht="41.25">
      <c r="C20" s="11"/>
      <c r="D20" s="4" t="s">
        <v>0</v>
      </c>
      <c r="E20" s="25">
        <f>SUM(E14:E19)</f>
        <v>177110.2</v>
      </c>
      <c r="F20" s="25">
        <f>SUM(F14:F19)</f>
        <v>181429.76</v>
      </c>
      <c r="G20" s="25">
        <f>SUM(G14:G19)</f>
        <v>269225.48000000004</v>
      </c>
      <c r="H20" s="25">
        <f>SUM(H14:H19)</f>
        <v>89314.47999999998</v>
      </c>
    </row>
    <row r="21" spans="3:8" s="3" customFormat="1" ht="21">
      <c r="C21" s="222" t="s">
        <v>19</v>
      </c>
      <c r="D21" s="223"/>
      <c r="E21" s="223"/>
      <c r="F21" s="223"/>
      <c r="G21" s="223"/>
      <c r="H21" s="224"/>
    </row>
    <row r="22" spans="3:8" s="3" customFormat="1" ht="21">
      <c r="C22" s="11">
        <v>6</v>
      </c>
      <c r="D22" s="11" t="s">
        <v>1</v>
      </c>
      <c r="E22" s="24">
        <v>695877.3</v>
      </c>
      <c r="F22" s="27">
        <v>759248.77</v>
      </c>
      <c r="G22" s="27">
        <v>615848.48</v>
      </c>
      <c r="H22" s="27">
        <f aca="true" t="shared" si="1" ref="H22:H27">E22+F22-G22</f>
        <v>839277.5900000001</v>
      </c>
    </row>
    <row r="23" spans="3:8" s="3" customFormat="1" ht="21">
      <c r="C23" s="11">
        <v>7</v>
      </c>
      <c r="D23" s="11" t="s">
        <v>4</v>
      </c>
      <c r="E23" s="24">
        <v>30397.95</v>
      </c>
      <c r="F23" s="27">
        <f>67613.16+3239.78</f>
        <v>70852.94</v>
      </c>
      <c r="G23" s="27">
        <f>70861.39+5545.14</f>
        <v>76406.53</v>
      </c>
      <c r="H23" s="27">
        <f t="shared" si="1"/>
        <v>24844.36</v>
      </c>
    </row>
    <row r="24" spans="3:8" s="3" customFormat="1" ht="21">
      <c r="C24" s="11">
        <v>8</v>
      </c>
      <c r="D24" s="11" t="s">
        <v>7</v>
      </c>
      <c r="E24" s="24">
        <v>23760.02</v>
      </c>
      <c r="F24" s="27">
        <v>81554.27</v>
      </c>
      <c r="G24" s="27">
        <v>66705.94</v>
      </c>
      <c r="H24" s="27">
        <f t="shared" si="1"/>
        <v>38608.350000000006</v>
      </c>
    </row>
    <row r="25" spans="3:8" s="3" customFormat="1" ht="21">
      <c r="C25" s="11">
        <v>9</v>
      </c>
      <c r="D25" s="14" t="s">
        <v>2</v>
      </c>
      <c r="E25" s="28">
        <v>3425.86</v>
      </c>
      <c r="F25" s="27">
        <v>24835.55</v>
      </c>
      <c r="G25" s="27">
        <v>29582.01</v>
      </c>
      <c r="H25" s="27">
        <f t="shared" si="1"/>
        <v>-1320.5999999999985</v>
      </c>
    </row>
    <row r="26" spans="3:8" s="3" customFormat="1" ht="21" hidden="1">
      <c r="C26" s="15">
        <v>5</v>
      </c>
      <c r="D26" s="14" t="s">
        <v>7</v>
      </c>
      <c r="E26" s="28"/>
      <c r="F26" s="27"/>
      <c r="G26" s="27"/>
      <c r="H26" s="27">
        <f t="shared" si="1"/>
        <v>0</v>
      </c>
    </row>
    <row r="27" spans="3:8" s="3" customFormat="1" ht="21">
      <c r="C27" s="15">
        <v>10</v>
      </c>
      <c r="D27" s="14" t="s">
        <v>77</v>
      </c>
      <c r="E27" s="28">
        <v>35560.05</v>
      </c>
      <c r="F27" s="27">
        <f>8375+93808.13</f>
        <v>102183.13</v>
      </c>
      <c r="G27" s="27">
        <f>16973.69+91412.18</f>
        <v>108385.87</v>
      </c>
      <c r="H27" s="27">
        <f t="shared" si="1"/>
        <v>29357.309999999998</v>
      </c>
    </row>
    <row r="28" spans="3:8" s="3" customFormat="1" ht="21" hidden="1">
      <c r="C28" s="15">
        <v>7</v>
      </c>
      <c r="D28" s="14" t="s">
        <v>4</v>
      </c>
      <c r="E28" s="28"/>
      <c r="F28" s="27"/>
      <c r="G28" s="27"/>
      <c r="H28" s="27">
        <f>F28-G28</f>
        <v>0</v>
      </c>
    </row>
    <row r="29" spans="3:8" s="3" customFormat="1" ht="41.25">
      <c r="C29" s="11"/>
      <c r="D29" s="4" t="s">
        <v>5</v>
      </c>
      <c r="E29" s="25">
        <f>SUM(E22:E28)</f>
        <v>789021.18</v>
      </c>
      <c r="F29" s="25">
        <f>SUM(F22:F28)</f>
        <v>1038674.66</v>
      </c>
      <c r="G29" s="25">
        <f>SUM(G22:G28)</f>
        <v>896928.83</v>
      </c>
      <c r="H29" s="25">
        <f>SUM(H22:H28)</f>
        <v>930767.01</v>
      </c>
    </row>
    <row r="30" spans="3:8" s="3" customFormat="1" ht="41.25">
      <c r="C30" s="11"/>
      <c r="D30" s="4" t="s">
        <v>6</v>
      </c>
      <c r="E30" s="25">
        <f>E20+E29</f>
        <v>966131.3800000001</v>
      </c>
      <c r="F30" s="25">
        <f>F20+F29</f>
        <v>1220104.42</v>
      </c>
      <c r="G30" s="25">
        <f>G20+G29</f>
        <v>1166154.31</v>
      </c>
      <c r="H30" s="25">
        <f>H20+H29</f>
        <v>1020081.49</v>
      </c>
    </row>
    <row r="31" spans="3:9" s="3" customFormat="1" ht="21">
      <c r="C31" s="16"/>
      <c r="D31" s="17"/>
      <c r="E31" s="17"/>
      <c r="F31" s="18"/>
      <c r="G31" s="18"/>
      <c r="H31" s="18"/>
      <c r="I31" s="34"/>
    </row>
    <row r="32" spans="3:9" s="3" customFormat="1" ht="21">
      <c r="C32" s="16"/>
      <c r="D32" s="17"/>
      <c r="E32" s="17"/>
      <c r="F32" s="18"/>
      <c r="G32" s="18"/>
      <c r="H32" s="18"/>
      <c r="I32" s="128"/>
    </row>
    <row r="33" spans="7:8" s="3" customFormat="1" ht="21">
      <c r="G33" s="8"/>
      <c r="H33" s="8" t="s">
        <v>20</v>
      </c>
    </row>
    <row r="34" spans="3:8" s="3" customFormat="1" ht="25.5">
      <c r="C34" s="170" t="s">
        <v>120</v>
      </c>
      <c r="D34" s="171"/>
      <c r="E34" s="171"/>
      <c r="F34" s="171"/>
      <c r="G34" s="171"/>
      <c r="H34" s="172"/>
    </row>
    <row r="35" spans="3:8" s="3" customFormat="1" ht="63">
      <c r="C35" s="184" t="s">
        <v>121</v>
      </c>
      <c r="D35" s="185"/>
      <c r="E35" s="185"/>
      <c r="F35" s="186"/>
      <c r="G35" s="41" t="s">
        <v>21</v>
      </c>
      <c r="H35" s="54" t="s">
        <v>126</v>
      </c>
    </row>
    <row r="36" spans="3:8" s="3" customFormat="1" ht="170.25" customHeight="1">
      <c r="C36" s="201" t="s">
        <v>123</v>
      </c>
      <c r="D36" s="202"/>
      <c r="E36" s="202"/>
      <c r="F36" s="203"/>
      <c r="G36" s="57">
        <f>F14</f>
        <v>159692.95</v>
      </c>
      <c r="H36" s="57">
        <f>H14</f>
        <v>80025.98999999999</v>
      </c>
    </row>
    <row r="37" spans="3:8" s="3" customFormat="1" ht="33" customHeight="1">
      <c r="C37" s="170" t="s">
        <v>119</v>
      </c>
      <c r="D37" s="171"/>
      <c r="E37" s="171"/>
      <c r="F37" s="171"/>
      <c r="G37" s="171"/>
      <c r="H37" s="172"/>
    </row>
    <row r="38" spans="3:8" s="3" customFormat="1" ht="63">
      <c r="C38" s="196" t="s">
        <v>132</v>
      </c>
      <c r="D38" s="197"/>
      <c r="E38" s="178" t="s">
        <v>121</v>
      </c>
      <c r="F38" s="179"/>
      <c r="G38" s="180"/>
      <c r="H38" s="89" t="s">
        <v>128</v>
      </c>
    </row>
    <row r="39" spans="3:8" s="3" customFormat="1" ht="21">
      <c r="C39" s="118"/>
      <c r="D39" s="126">
        <v>-2519.19</v>
      </c>
      <c r="E39" s="218" t="s">
        <v>187</v>
      </c>
      <c r="F39" s="219"/>
      <c r="G39" s="28">
        <f>17+100</f>
        <v>117</v>
      </c>
      <c r="H39" s="24"/>
    </row>
    <row r="40" spans="3:8" s="3" customFormat="1" ht="21">
      <c r="C40" s="111"/>
      <c r="D40" s="114"/>
      <c r="E40" s="229" t="s">
        <v>198</v>
      </c>
      <c r="F40" s="219"/>
      <c r="G40" s="28">
        <v>12000</v>
      </c>
      <c r="H40" s="24"/>
    </row>
    <row r="41" spans="3:8" s="3" customFormat="1" ht="21">
      <c r="C41" s="111"/>
      <c r="D41" s="114"/>
      <c r="E41" s="218"/>
      <c r="F41" s="219"/>
      <c r="G41" s="28"/>
      <c r="H41" s="24"/>
    </row>
    <row r="42" spans="3:8" s="3" customFormat="1" ht="21">
      <c r="C42" s="111"/>
      <c r="D42" s="114"/>
      <c r="E42" s="216" t="s">
        <v>140</v>
      </c>
      <c r="F42" s="217"/>
      <c r="G42" s="29">
        <f>SUM(G39:G41)</f>
        <v>12117</v>
      </c>
      <c r="H42" s="24">
        <f>G15-G42</f>
        <v>-12117</v>
      </c>
    </row>
    <row r="43" spans="3:8" s="3" customFormat="1" ht="21">
      <c r="C43" s="112"/>
      <c r="D43" s="116"/>
      <c r="E43" s="216" t="s">
        <v>141</v>
      </c>
      <c r="F43" s="217"/>
      <c r="G43" s="29"/>
      <c r="H43" s="30">
        <f>D39+H42</f>
        <v>-14636.19</v>
      </c>
    </row>
    <row r="44" spans="3:8" s="3" customFormat="1" ht="21">
      <c r="C44" s="145">
        <v>3</v>
      </c>
      <c r="D44" s="4" t="s">
        <v>22</v>
      </c>
      <c r="E44" s="230"/>
      <c r="F44" s="230"/>
      <c r="G44" s="19"/>
      <c r="H44" s="11"/>
    </row>
    <row r="45" spans="3:8" s="3" customFormat="1" ht="21">
      <c r="C45" s="142"/>
      <c r="D45" s="21"/>
      <c r="E45" s="266"/>
      <c r="F45" s="266"/>
      <c r="G45" s="19"/>
      <c r="H45" s="11"/>
    </row>
    <row r="46" s="6" customFormat="1" ht="21">
      <c r="C46" s="3"/>
    </row>
    <row r="47" s="6" customFormat="1" ht="21">
      <c r="C47" s="3"/>
    </row>
    <row r="48" spans="3:11" s="6" customFormat="1" ht="60.75">
      <c r="C48" s="41" t="s">
        <v>11</v>
      </c>
      <c r="D48" s="41" t="s">
        <v>50</v>
      </c>
      <c r="E48" s="41" t="s">
        <v>180</v>
      </c>
      <c r="F48" s="41" t="s">
        <v>196</v>
      </c>
      <c r="G48" s="41" t="s">
        <v>114</v>
      </c>
      <c r="H48" s="41" t="s">
        <v>181</v>
      </c>
      <c r="I48" s="41" t="s">
        <v>170</v>
      </c>
      <c r="J48" s="41" t="s">
        <v>168</v>
      </c>
      <c r="K48" s="41" t="s">
        <v>49</v>
      </c>
    </row>
    <row r="49" spans="3:11" s="6" customFormat="1" ht="21">
      <c r="C49" s="15">
        <v>1</v>
      </c>
      <c r="D49" s="15" t="s">
        <v>112</v>
      </c>
      <c r="E49" s="43">
        <v>1388.41</v>
      </c>
      <c r="F49" s="43">
        <v>22245</v>
      </c>
      <c r="G49" s="43">
        <v>17272.58</v>
      </c>
      <c r="H49" s="43">
        <v>3707.6</v>
      </c>
      <c r="I49" s="43">
        <v>18611.11</v>
      </c>
      <c r="J49" s="149">
        <f>G49+H49-I49</f>
        <v>2369.0699999999997</v>
      </c>
      <c r="K49" s="149">
        <f>E49+F49-H49</f>
        <v>19925.81</v>
      </c>
    </row>
    <row r="50" s="6" customFormat="1" ht="21">
      <c r="C50" s="3"/>
    </row>
    <row r="51" spans="3:9" s="6" customFormat="1" ht="60.75">
      <c r="C51" s="41" t="s">
        <v>11</v>
      </c>
      <c r="D51" s="41" t="s">
        <v>50</v>
      </c>
      <c r="E51" s="41" t="s">
        <v>197</v>
      </c>
      <c r="F51" s="41" t="s">
        <v>129</v>
      </c>
      <c r="G51" s="41" t="s">
        <v>130</v>
      </c>
      <c r="H51" s="41" t="s">
        <v>131</v>
      </c>
      <c r="I51" s="41" t="s">
        <v>49</v>
      </c>
    </row>
    <row r="52" spans="3:9" s="3" customFormat="1" ht="21">
      <c r="C52" s="150">
        <v>1</v>
      </c>
      <c r="D52" s="150" t="s">
        <v>195</v>
      </c>
      <c r="E52" s="151">
        <f>4000+18+30+8.5+12000+30+20+1800</f>
        <v>17906.5</v>
      </c>
      <c r="F52" s="151">
        <v>16200</v>
      </c>
      <c r="G52" s="152">
        <v>14679.12</v>
      </c>
      <c r="H52" s="151">
        <f>F52-G52</f>
        <v>1520.8799999999992</v>
      </c>
      <c r="I52" s="149">
        <f>E52-F52</f>
        <v>1706.5</v>
      </c>
    </row>
    <row r="53" s="6" customFormat="1" ht="21">
      <c r="C53" s="3"/>
    </row>
    <row r="54" spans="3:9" s="6" customFormat="1" ht="25.5">
      <c r="C54" s="3"/>
      <c r="D54" s="170" t="s">
        <v>201</v>
      </c>
      <c r="E54" s="171"/>
      <c r="F54" s="171"/>
      <c r="G54" s="171"/>
      <c r="H54" s="171"/>
      <c r="I54" s="172"/>
    </row>
    <row r="55" spans="3:9" s="6" customFormat="1" ht="63">
      <c r="C55" s="3"/>
      <c r="D55" s="184" t="s">
        <v>121</v>
      </c>
      <c r="E55" s="185"/>
      <c r="F55" s="185"/>
      <c r="G55" s="186"/>
      <c r="H55" s="41" t="s">
        <v>21</v>
      </c>
      <c r="I55" s="54" t="s">
        <v>126</v>
      </c>
    </row>
    <row r="56" spans="3:9" s="6" customFormat="1" ht="21">
      <c r="C56" s="3"/>
      <c r="D56" s="167" t="s">
        <v>202</v>
      </c>
      <c r="E56" s="168"/>
      <c r="F56" s="168"/>
      <c r="G56" s="169"/>
      <c r="H56" s="57">
        <v>2153</v>
      </c>
      <c r="I56" s="57">
        <f>H56</f>
        <v>2153</v>
      </c>
    </row>
    <row r="57" s="6" customFormat="1" ht="21">
      <c r="C57" s="3"/>
    </row>
    <row r="58" spans="4:6" s="5" customFormat="1" ht="26.25">
      <c r="D58" s="1" t="s">
        <v>106</v>
      </c>
      <c r="E58" s="1"/>
      <c r="F58"/>
    </row>
    <row r="59" spans="4:5" ht="26.25">
      <c r="D59" s="1" t="s">
        <v>107</v>
      </c>
      <c r="E59" s="1"/>
    </row>
    <row r="61" ht="15">
      <c r="H61" s="127">
        <f>G30+I49+G52</f>
        <v>1199444.5400000003</v>
      </c>
    </row>
    <row r="62" ht="15">
      <c r="H62">
        <v>5278.1</v>
      </c>
    </row>
    <row r="63" ht="15">
      <c r="H63">
        <v>267721.44</v>
      </c>
    </row>
    <row r="64" ht="15">
      <c r="H64">
        <v>121353.62</v>
      </c>
    </row>
    <row r="65" ht="15">
      <c r="H65" s="127">
        <f>SUM(H61:H64)</f>
        <v>1593797.7000000002</v>
      </c>
    </row>
  </sheetData>
  <sheetProtection/>
  <mergeCells count="18">
    <mergeCell ref="D54:I54"/>
    <mergeCell ref="D55:G55"/>
    <mergeCell ref="D56:G56"/>
    <mergeCell ref="C13:H13"/>
    <mergeCell ref="C21:H21"/>
    <mergeCell ref="E42:F42"/>
    <mergeCell ref="E41:F41"/>
    <mergeCell ref="C34:H34"/>
    <mergeCell ref="C35:F35"/>
    <mergeCell ref="C36:F36"/>
    <mergeCell ref="C37:H37"/>
    <mergeCell ref="E44:F44"/>
    <mergeCell ref="E45:F45"/>
    <mergeCell ref="E40:F40"/>
    <mergeCell ref="C38:D38"/>
    <mergeCell ref="E38:G38"/>
    <mergeCell ref="E39:F39"/>
    <mergeCell ref="E43:F43"/>
  </mergeCells>
  <printOptions/>
  <pageMargins left="0.25" right="0.25" top="0.75" bottom="0.75" header="0.3" footer="0.3"/>
  <pageSetup horizontalDpi="600" verticalDpi="600" orientation="landscape" paperSize="9" scale="48" r:id="rId2"/>
  <rowBreaks count="1" manualBreakCount="1">
    <brk id="36" min="2" max="10" man="1"/>
  </rowBreaks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C1:J49"/>
  <sheetViews>
    <sheetView view="pageBreakPreview" zoomScale="73" zoomScaleSheetLayoutView="73" zoomScalePageLayoutView="0" workbookViewId="0" topLeftCell="C13">
      <selection activeCell="G36" sqref="G36"/>
    </sheetView>
  </sheetViews>
  <sheetFormatPr defaultColWidth="9.140625" defaultRowHeight="15"/>
  <cols>
    <col min="1" max="2" width="9.140625" style="37" customWidth="1"/>
    <col min="3" max="3" width="9.00390625" style="37" customWidth="1"/>
    <col min="4" max="5" width="40.421875" style="37" customWidth="1"/>
    <col min="6" max="6" width="48.57421875" style="37" customWidth="1"/>
    <col min="7" max="7" width="34.140625" style="37" customWidth="1"/>
    <col min="8" max="8" width="30.7109375" style="37" customWidth="1"/>
    <col min="9" max="9" width="23.28125" style="37" customWidth="1"/>
    <col min="10" max="10" width="16.7109375" style="37" customWidth="1"/>
    <col min="11" max="16384" width="9.140625" style="37" customWidth="1"/>
  </cols>
  <sheetData>
    <row r="1" spans="4:7" s="35" customFormat="1" ht="28.5">
      <c r="D1" s="36" t="s">
        <v>24</v>
      </c>
      <c r="E1" s="36"/>
      <c r="F1" s="36"/>
      <c r="G1" s="36"/>
    </row>
    <row r="2" spans="4:7" s="35" customFormat="1" ht="28.5">
      <c r="D2" s="36" t="s">
        <v>25</v>
      </c>
      <c r="E2" s="36"/>
      <c r="F2" s="36"/>
      <c r="G2" s="36"/>
    </row>
    <row r="3" spans="4:8" ht="18.75">
      <c r="D3" s="38" t="s">
        <v>26</v>
      </c>
      <c r="E3" s="38"/>
      <c r="F3" s="38"/>
      <c r="G3" s="38"/>
      <c r="H3" s="39"/>
    </row>
    <row r="4" spans="4:8" ht="18.75">
      <c r="D4" s="38" t="s">
        <v>27</v>
      </c>
      <c r="E4" s="38"/>
      <c r="F4" s="38"/>
      <c r="G4" s="38"/>
      <c r="H4" s="39"/>
    </row>
    <row r="5" spans="4:8" ht="15">
      <c r="D5" s="39"/>
      <c r="E5" s="39"/>
      <c r="F5" s="39"/>
      <c r="G5" s="39"/>
      <c r="H5" s="39"/>
    </row>
    <row r="6" spans="4:7" s="40" customFormat="1" ht="26.25">
      <c r="D6" s="35" t="s">
        <v>28</v>
      </c>
      <c r="E6" s="35"/>
      <c r="F6" s="35"/>
      <c r="G6" s="35"/>
    </row>
    <row r="7" spans="4:7" s="40" customFormat="1" ht="26.25">
      <c r="D7" s="35" t="s">
        <v>80</v>
      </c>
      <c r="E7" s="35"/>
      <c r="F7" s="35"/>
      <c r="G7" s="35"/>
    </row>
    <row r="8" spans="4:7" s="40" customFormat="1" ht="26.25">
      <c r="D8" s="35" t="s">
        <v>125</v>
      </c>
      <c r="E8" s="35"/>
      <c r="F8" s="35"/>
      <c r="G8" s="35"/>
    </row>
    <row r="9" spans="4:8" ht="15">
      <c r="D9" s="39"/>
      <c r="E9" s="39"/>
      <c r="F9" s="39"/>
      <c r="G9" s="39"/>
      <c r="H9" s="39"/>
    </row>
    <row r="10" spans="3:8" ht="21">
      <c r="C10" s="40" t="s">
        <v>8</v>
      </c>
      <c r="D10" s="39"/>
      <c r="E10" s="39"/>
      <c r="F10" s="39"/>
      <c r="G10" s="39"/>
      <c r="H10" s="39"/>
    </row>
    <row r="11" s="40" customFormat="1" ht="34.5" customHeight="1">
      <c r="H11" s="53" t="s">
        <v>18</v>
      </c>
    </row>
    <row r="12" spans="3:8" s="42" customFormat="1" ht="40.5">
      <c r="C12" s="41" t="s">
        <v>11</v>
      </c>
      <c r="D12" s="41" t="s">
        <v>12</v>
      </c>
      <c r="E12" s="41" t="s">
        <v>114</v>
      </c>
      <c r="F12" s="41" t="s">
        <v>13</v>
      </c>
      <c r="G12" s="41" t="s">
        <v>14</v>
      </c>
      <c r="H12" s="41" t="s">
        <v>10</v>
      </c>
    </row>
    <row r="13" spans="3:8" s="40" customFormat="1" ht="21">
      <c r="C13" s="181" t="s">
        <v>15</v>
      </c>
      <c r="D13" s="182"/>
      <c r="E13" s="182"/>
      <c r="F13" s="182"/>
      <c r="G13" s="182"/>
      <c r="H13" s="183"/>
    </row>
    <row r="14" spans="3:8" s="40" customFormat="1" ht="21">
      <c r="C14" s="15">
        <v>1</v>
      </c>
      <c r="D14" s="15" t="s">
        <v>16</v>
      </c>
      <c r="E14" s="43">
        <v>3603.39</v>
      </c>
      <c r="F14" s="43">
        <v>23133.24</v>
      </c>
      <c r="G14" s="43">
        <v>20028.58</v>
      </c>
      <c r="H14" s="43">
        <f>E14+F14-G14</f>
        <v>6708.049999999999</v>
      </c>
    </row>
    <row r="15" spans="3:8" s="40" customFormat="1" ht="21">
      <c r="C15" s="15">
        <v>2</v>
      </c>
      <c r="D15" s="15" t="s">
        <v>17</v>
      </c>
      <c r="E15" s="43">
        <v>1699.74</v>
      </c>
      <c r="F15" s="43">
        <v>10912.08</v>
      </c>
      <c r="G15" s="43">
        <v>9447.62</v>
      </c>
      <c r="H15" s="43">
        <f>E15+F15-G15</f>
        <v>3164.199999999999</v>
      </c>
    </row>
    <row r="16" spans="3:8" s="40" customFormat="1" ht="42">
      <c r="C16" s="15">
        <v>3</v>
      </c>
      <c r="D16" s="67" t="s">
        <v>87</v>
      </c>
      <c r="E16" s="43">
        <v>403.04</v>
      </c>
      <c r="F16" s="43">
        <v>3840</v>
      </c>
      <c r="G16" s="43">
        <v>3095.42</v>
      </c>
      <c r="H16" s="43">
        <f>E16+F16-G16</f>
        <v>1147.62</v>
      </c>
    </row>
    <row r="17" spans="3:8" s="40" customFormat="1" ht="41.25">
      <c r="C17" s="15"/>
      <c r="D17" s="44" t="s">
        <v>0</v>
      </c>
      <c r="E17" s="45">
        <f>SUM(E14:E16)</f>
        <v>5706.17</v>
      </c>
      <c r="F17" s="45">
        <f>SUM(F14:F16)</f>
        <v>37885.32</v>
      </c>
      <c r="G17" s="45">
        <f>SUM(G14:G16)</f>
        <v>32571.620000000003</v>
      </c>
      <c r="H17" s="45">
        <f>SUM(H14:H16)</f>
        <v>11019.869999999999</v>
      </c>
    </row>
    <row r="18" spans="3:8" s="40" customFormat="1" ht="21">
      <c r="C18" s="181" t="s">
        <v>19</v>
      </c>
      <c r="D18" s="182"/>
      <c r="E18" s="182"/>
      <c r="F18" s="182"/>
      <c r="G18" s="182"/>
      <c r="H18" s="183"/>
    </row>
    <row r="19" spans="3:8" s="40" customFormat="1" ht="21" hidden="1">
      <c r="C19" s="15">
        <v>3</v>
      </c>
      <c r="D19" s="15" t="s">
        <v>1</v>
      </c>
      <c r="E19" s="15"/>
      <c r="F19" s="84"/>
      <c r="G19" s="84"/>
      <c r="H19" s="85">
        <f>F19-G19</f>
        <v>0</v>
      </c>
    </row>
    <row r="20" spans="3:8" s="40" customFormat="1" ht="21">
      <c r="C20" s="15">
        <v>4</v>
      </c>
      <c r="D20" s="15" t="s">
        <v>4</v>
      </c>
      <c r="E20" s="43">
        <v>4712.07</v>
      </c>
      <c r="F20" s="47">
        <f>9806.79+578.32+2399.44+402</f>
        <v>13186.550000000001</v>
      </c>
      <c r="G20" s="47">
        <f>12308.39+767.04+2327.79+374.36</f>
        <v>15777.580000000002</v>
      </c>
      <c r="H20" s="47">
        <f>E20+F20-G20</f>
        <v>2121.040000000001</v>
      </c>
    </row>
    <row r="21" spans="3:8" s="40" customFormat="1" ht="21">
      <c r="C21" s="15">
        <v>5</v>
      </c>
      <c r="D21" s="48" t="s">
        <v>2</v>
      </c>
      <c r="E21" s="49">
        <v>2071.97</v>
      </c>
      <c r="F21" s="47">
        <v>12390.11</v>
      </c>
      <c r="G21" s="47">
        <v>10167.12</v>
      </c>
      <c r="H21" s="47">
        <f>E21+F21-G21</f>
        <v>4294.959999999999</v>
      </c>
    </row>
    <row r="22" spans="3:8" s="40" customFormat="1" ht="21">
      <c r="C22" s="15">
        <v>6</v>
      </c>
      <c r="D22" s="48" t="s">
        <v>3</v>
      </c>
      <c r="E22" s="49">
        <v>-12278.26</v>
      </c>
      <c r="F22" s="47"/>
      <c r="G22" s="47"/>
      <c r="H22" s="47">
        <f>E22+F22-G22</f>
        <v>-12278.26</v>
      </c>
    </row>
    <row r="23" spans="3:8" s="40" customFormat="1" ht="21">
      <c r="C23" s="15">
        <v>7</v>
      </c>
      <c r="D23" s="48" t="s">
        <v>89</v>
      </c>
      <c r="E23" s="49">
        <v>949.62</v>
      </c>
      <c r="F23" s="47">
        <f>4464.88+3311.96</f>
        <v>7776.84</v>
      </c>
      <c r="G23" s="47">
        <f>3820.46+2836.41+18.71</f>
        <v>6675.58</v>
      </c>
      <c r="H23" s="47">
        <f>E23+F23-G23</f>
        <v>2050.880000000001</v>
      </c>
    </row>
    <row r="24" spans="3:8" s="40" customFormat="1" ht="21" hidden="1">
      <c r="C24" s="15">
        <v>7</v>
      </c>
      <c r="D24" s="48" t="s">
        <v>4</v>
      </c>
      <c r="E24" s="49"/>
      <c r="F24" s="47"/>
      <c r="G24" s="47"/>
      <c r="H24" s="47">
        <f>F24-G24</f>
        <v>0</v>
      </c>
    </row>
    <row r="25" spans="3:8" s="40" customFormat="1" ht="41.25">
      <c r="C25" s="15"/>
      <c r="D25" s="44" t="s">
        <v>5</v>
      </c>
      <c r="E25" s="45">
        <f>SUM(E20:E24)</f>
        <v>-4544.600000000001</v>
      </c>
      <c r="F25" s="45">
        <f>SUM(F20:F24)</f>
        <v>33353.5</v>
      </c>
      <c r="G25" s="45">
        <f>SUM(G20:G24)</f>
        <v>32620.280000000006</v>
      </c>
      <c r="H25" s="45">
        <f>SUM(H20:H24)</f>
        <v>-3811.379999999999</v>
      </c>
    </row>
    <row r="26" spans="3:8" s="40" customFormat="1" ht="41.25">
      <c r="C26" s="15"/>
      <c r="D26" s="44" t="s">
        <v>6</v>
      </c>
      <c r="E26" s="45">
        <f>E17+E25</f>
        <v>1161.5699999999988</v>
      </c>
      <c r="F26" s="45">
        <f>F17+F25</f>
        <v>71238.82</v>
      </c>
      <c r="G26" s="45">
        <f>G17+G25</f>
        <v>65191.90000000001</v>
      </c>
      <c r="H26" s="45">
        <f>H17+H25</f>
        <v>7208.49</v>
      </c>
    </row>
    <row r="27" spans="3:9" s="40" customFormat="1" ht="21">
      <c r="C27" s="50"/>
      <c r="D27" s="51"/>
      <c r="E27" s="51"/>
      <c r="F27" s="52"/>
      <c r="G27" s="52"/>
      <c r="H27" s="52"/>
      <c r="I27" s="78"/>
    </row>
    <row r="28" spans="3:8" s="40" customFormat="1" ht="21">
      <c r="C28" s="50"/>
      <c r="D28" s="51"/>
      <c r="E28" s="51"/>
      <c r="F28" s="52"/>
      <c r="G28" s="52"/>
      <c r="H28" s="52"/>
    </row>
    <row r="29" spans="7:8" s="40" customFormat="1" ht="21">
      <c r="G29" s="53"/>
      <c r="H29" s="53" t="s">
        <v>20</v>
      </c>
    </row>
    <row r="30" spans="3:8" s="40" customFormat="1" ht="25.5">
      <c r="C30" s="170" t="s">
        <v>120</v>
      </c>
      <c r="D30" s="171"/>
      <c r="E30" s="171"/>
      <c r="F30" s="171"/>
      <c r="G30" s="171"/>
      <c r="H30" s="172"/>
    </row>
    <row r="31" spans="3:8" s="40" customFormat="1" ht="63">
      <c r="C31" s="184" t="s">
        <v>121</v>
      </c>
      <c r="D31" s="185"/>
      <c r="E31" s="185"/>
      <c r="F31" s="186"/>
      <c r="G31" s="41" t="s">
        <v>21</v>
      </c>
      <c r="H31" s="54" t="s">
        <v>126</v>
      </c>
    </row>
    <row r="32" spans="3:8" s="40" customFormat="1" ht="168" customHeight="1">
      <c r="C32" s="201" t="s">
        <v>123</v>
      </c>
      <c r="D32" s="202"/>
      <c r="E32" s="202"/>
      <c r="F32" s="203"/>
      <c r="G32" s="57">
        <f>F14</f>
        <v>23133.24</v>
      </c>
      <c r="H32" s="57">
        <f>H14</f>
        <v>6708.049999999999</v>
      </c>
    </row>
    <row r="33" spans="3:8" s="40" customFormat="1" ht="25.5">
      <c r="C33" s="170" t="s">
        <v>119</v>
      </c>
      <c r="D33" s="171"/>
      <c r="E33" s="171"/>
      <c r="F33" s="171"/>
      <c r="G33" s="171"/>
      <c r="H33" s="172"/>
    </row>
    <row r="34" spans="3:8" s="40" customFormat="1" ht="63">
      <c r="C34" s="176" t="s">
        <v>132</v>
      </c>
      <c r="D34" s="177"/>
      <c r="E34" s="178" t="s">
        <v>121</v>
      </c>
      <c r="F34" s="179"/>
      <c r="G34" s="180"/>
      <c r="H34" s="89" t="s">
        <v>128</v>
      </c>
    </row>
    <row r="35" spans="3:8" s="40" customFormat="1" ht="21">
      <c r="C35" s="103"/>
      <c r="D35" s="124">
        <v>12555.22</v>
      </c>
      <c r="E35" s="234" t="s">
        <v>199</v>
      </c>
      <c r="F35" s="192"/>
      <c r="G35" s="86">
        <v>18297</v>
      </c>
      <c r="H35" s="83"/>
    </row>
    <row r="36" spans="3:8" s="40" customFormat="1" ht="21">
      <c r="C36" s="98"/>
      <c r="D36" s="98"/>
      <c r="E36" s="213" t="s">
        <v>140</v>
      </c>
      <c r="F36" s="160"/>
      <c r="G36" s="87">
        <f>SUM(G35:G35)</f>
        <v>18297</v>
      </c>
      <c r="H36" s="88">
        <f>G15-G36</f>
        <v>-8849.38</v>
      </c>
    </row>
    <row r="37" spans="3:8" s="40" customFormat="1" ht="21">
      <c r="C37" s="98"/>
      <c r="D37" s="98"/>
      <c r="E37" s="208" t="s">
        <v>141</v>
      </c>
      <c r="F37" s="206"/>
      <c r="G37" s="87"/>
      <c r="H37" s="88">
        <f>H36+D35</f>
        <v>3705.84</v>
      </c>
    </row>
    <row r="38" spans="3:8" s="40" customFormat="1" ht="21">
      <c r="C38" s="96">
        <v>3</v>
      </c>
      <c r="D38" s="94" t="s">
        <v>22</v>
      </c>
      <c r="E38" s="176"/>
      <c r="F38" s="177"/>
      <c r="G38" s="58"/>
      <c r="H38" s="15"/>
    </row>
    <row r="39" spans="3:8" s="40" customFormat="1" ht="21">
      <c r="C39" s="193"/>
      <c r="D39" s="194"/>
      <c r="E39" s="209"/>
      <c r="F39" s="210"/>
      <c r="G39" s="58"/>
      <c r="H39" s="15"/>
    </row>
    <row r="40" spans="3:8" s="40" customFormat="1" ht="21">
      <c r="C40" s="194"/>
      <c r="D40" s="194"/>
      <c r="E40" s="209"/>
      <c r="F40" s="210"/>
      <c r="G40" s="58"/>
      <c r="H40" s="15"/>
    </row>
    <row r="41" spans="3:8" s="40" customFormat="1" ht="21">
      <c r="C41" s="120"/>
      <c r="D41" s="120"/>
      <c r="E41" s="120"/>
      <c r="F41" s="121"/>
      <c r="G41" s="95"/>
      <c r="H41" s="122"/>
    </row>
    <row r="42" spans="3:9" s="66" customFormat="1" ht="21">
      <c r="C42" s="120"/>
      <c r="D42" s="120"/>
      <c r="E42" s="120"/>
      <c r="F42" s="121"/>
      <c r="G42" s="95"/>
      <c r="H42" s="122"/>
      <c r="I42" s="53" t="s">
        <v>47</v>
      </c>
    </row>
    <row r="43" spans="3:10" s="64" customFormat="1" ht="60.75">
      <c r="C43" s="41" t="s">
        <v>11</v>
      </c>
      <c r="D43" s="41" t="s">
        <v>50</v>
      </c>
      <c r="E43" s="41" t="s">
        <v>180</v>
      </c>
      <c r="F43" s="41" t="s">
        <v>114</v>
      </c>
      <c r="G43" s="41" t="s">
        <v>181</v>
      </c>
      <c r="H43" s="41" t="s">
        <v>170</v>
      </c>
      <c r="I43" s="41" t="s">
        <v>168</v>
      </c>
      <c r="J43" s="41" t="s">
        <v>49</v>
      </c>
    </row>
    <row r="44" spans="3:10" ht="21">
      <c r="C44" s="15">
        <v>1</v>
      </c>
      <c r="D44" s="15" t="s">
        <v>90</v>
      </c>
      <c r="E44" s="43">
        <v>202270.4</v>
      </c>
      <c r="F44" s="43">
        <v>11075.94</v>
      </c>
      <c r="G44" s="43">
        <v>103168.8</v>
      </c>
      <c r="H44" s="43">
        <v>89308.34</v>
      </c>
      <c r="I44" s="43">
        <f>F44+G44-H44</f>
        <v>24936.40000000001</v>
      </c>
      <c r="J44" s="146">
        <f>E44-G44</f>
        <v>99101.59999999999</v>
      </c>
    </row>
    <row r="46" spans="4:5" ht="26.25">
      <c r="D46" s="35" t="s">
        <v>106</v>
      </c>
      <c r="E46" s="35"/>
    </row>
    <row r="47" spans="4:5" ht="26.25">
      <c r="D47" s="35" t="s">
        <v>107</v>
      </c>
      <c r="E47" s="35"/>
    </row>
    <row r="49" ht="15">
      <c r="H49" s="132">
        <f>G26+H44</f>
        <v>154500.24</v>
      </c>
    </row>
  </sheetData>
  <sheetProtection/>
  <mergeCells count="16">
    <mergeCell ref="C39:C40"/>
    <mergeCell ref="D39:D40"/>
    <mergeCell ref="E36:F36"/>
    <mergeCell ref="E37:F37"/>
    <mergeCell ref="E38:F38"/>
    <mergeCell ref="E39:F39"/>
    <mergeCell ref="E40:F40"/>
    <mergeCell ref="C34:D34"/>
    <mergeCell ref="E34:G34"/>
    <mergeCell ref="E35:F35"/>
    <mergeCell ref="C13:H13"/>
    <mergeCell ref="C18:H18"/>
    <mergeCell ref="C30:H30"/>
    <mergeCell ref="C31:F31"/>
    <mergeCell ref="C32:F32"/>
    <mergeCell ref="C33:H33"/>
  </mergeCells>
  <printOptions/>
  <pageMargins left="0.2362204724409449" right="0.2362204724409449" top="0.7480314960629921" bottom="0.7480314960629921" header="0.31496062992125984" footer="0.31496062992125984"/>
  <pageSetup fitToHeight="2" horizontalDpi="600" verticalDpi="600" orientation="landscape" paperSize="9" scale="52" r:id="rId2"/>
  <rowBreaks count="1" manualBreakCount="1">
    <brk id="32" min="2" max="9" man="1"/>
  </rowBreaks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C1:H44"/>
  <sheetViews>
    <sheetView view="pageBreakPreview" zoomScale="73" zoomScaleSheetLayoutView="73" zoomScalePageLayoutView="0" workbookViewId="0" topLeftCell="B10">
      <selection activeCell="F41" sqref="F41"/>
    </sheetView>
  </sheetViews>
  <sheetFormatPr defaultColWidth="9.140625" defaultRowHeight="15"/>
  <cols>
    <col min="3" max="3" width="9.00390625" style="0" customWidth="1"/>
    <col min="4" max="5" width="40.421875" style="0" customWidth="1"/>
    <col min="6" max="6" width="48.57421875" style="0" customWidth="1"/>
    <col min="7" max="7" width="34.140625" style="0" customWidth="1"/>
    <col min="8" max="8" width="30.140625" style="0" customWidth="1"/>
  </cols>
  <sheetData>
    <row r="1" spans="4:7" s="1" customFormat="1" ht="28.5">
      <c r="D1" s="20" t="s">
        <v>24</v>
      </c>
      <c r="E1" s="20"/>
      <c r="F1" s="20"/>
      <c r="G1" s="20"/>
    </row>
    <row r="2" spans="4:7" s="1" customFormat="1" ht="28.5">
      <c r="D2" s="20" t="s">
        <v>25</v>
      </c>
      <c r="E2" s="20"/>
      <c r="F2" s="20"/>
      <c r="G2" s="20"/>
    </row>
    <row r="3" spans="4:8" ht="18.75">
      <c r="D3" s="2" t="s">
        <v>26</v>
      </c>
      <c r="E3" s="2"/>
      <c r="F3" s="2"/>
      <c r="G3" s="2"/>
      <c r="H3" s="7"/>
    </row>
    <row r="4" spans="4:8" ht="18.75">
      <c r="D4" s="2" t="s">
        <v>27</v>
      </c>
      <c r="E4" s="2"/>
      <c r="F4" s="2"/>
      <c r="G4" s="2"/>
      <c r="H4" s="7"/>
    </row>
    <row r="5" spans="4:8" ht="15">
      <c r="D5" s="7"/>
      <c r="E5" s="7"/>
      <c r="F5" s="7"/>
      <c r="G5" s="7"/>
      <c r="H5" s="7"/>
    </row>
    <row r="6" spans="4:7" s="3" customFormat="1" ht="26.25">
      <c r="D6" s="1" t="s">
        <v>28</v>
      </c>
      <c r="E6" s="1"/>
      <c r="F6" s="1"/>
      <c r="G6" s="1"/>
    </row>
    <row r="7" spans="4:7" s="3" customFormat="1" ht="26.25">
      <c r="D7" s="1" t="s">
        <v>82</v>
      </c>
      <c r="E7" s="1"/>
      <c r="F7" s="1"/>
      <c r="G7" s="1"/>
    </row>
    <row r="8" spans="4:7" s="3" customFormat="1" ht="26.25">
      <c r="D8" s="1" t="s">
        <v>125</v>
      </c>
      <c r="E8" s="1"/>
      <c r="F8" s="1"/>
      <c r="G8" s="1"/>
    </row>
    <row r="9" spans="4:8" ht="15">
      <c r="D9" s="7"/>
      <c r="E9" s="7"/>
      <c r="F9" s="7"/>
      <c r="G9" s="7"/>
      <c r="H9" s="7"/>
    </row>
    <row r="10" spans="3:8" ht="21">
      <c r="C10" s="3" t="s">
        <v>83</v>
      </c>
      <c r="D10" s="7"/>
      <c r="E10" s="7"/>
      <c r="F10" s="7"/>
      <c r="G10" s="7"/>
      <c r="H10" s="7"/>
    </row>
    <row r="11" s="3" customFormat="1" ht="34.5" customHeight="1">
      <c r="H11" s="8" t="s">
        <v>18</v>
      </c>
    </row>
    <row r="12" spans="3:8" s="10" customFormat="1" ht="40.5">
      <c r="C12" s="9" t="s">
        <v>11</v>
      </c>
      <c r="D12" s="9" t="s">
        <v>12</v>
      </c>
      <c r="E12" s="9" t="s">
        <v>114</v>
      </c>
      <c r="F12" s="9" t="s">
        <v>13</v>
      </c>
      <c r="G12" s="9" t="s">
        <v>14</v>
      </c>
      <c r="H12" s="9" t="s">
        <v>10</v>
      </c>
    </row>
    <row r="13" spans="3:8" s="3" customFormat="1" ht="21">
      <c r="C13" s="222" t="s">
        <v>15</v>
      </c>
      <c r="D13" s="223"/>
      <c r="E13" s="223"/>
      <c r="F13" s="223"/>
      <c r="G13" s="223"/>
      <c r="H13" s="224"/>
    </row>
    <row r="14" spans="3:8" s="3" customFormat="1" ht="21">
      <c r="C14" s="11">
        <v>1</v>
      </c>
      <c r="D14" s="11" t="s">
        <v>16</v>
      </c>
      <c r="E14" s="24">
        <v>17539.91</v>
      </c>
      <c r="F14" s="24">
        <v>53974.2</v>
      </c>
      <c r="G14" s="24">
        <v>35009.44</v>
      </c>
      <c r="H14" s="24">
        <f>E14+F14-G14</f>
        <v>36504.67</v>
      </c>
    </row>
    <row r="15" spans="3:8" s="3" customFormat="1" ht="21">
      <c r="C15" s="11">
        <v>2</v>
      </c>
      <c r="D15" s="11" t="s">
        <v>17</v>
      </c>
      <c r="E15" s="24">
        <v>-376.09</v>
      </c>
      <c r="F15" s="24">
        <v>24804.48</v>
      </c>
      <c r="G15" s="24">
        <v>14498.8</v>
      </c>
      <c r="H15" s="24">
        <f>E15+F15-G15</f>
        <v>9929.59</v>
      </c>
    </row>
    <row r="16" spans="3:8" s="3" customFormat="1" ht="42">
      <c r="C16" s="11">
        <v>3</v>
      </c>
      <c r="D16" s="22" t="s">
        <v>87</v>
      </c>
      <c r="E16" s="24">
        <v>2933.9</v>
      </c>
      <c r="F16" s="24">
        <v>9921.72</v>
      </c>
      <c r="G16" s="24">
        <v>6428.02</v>
      </c>
      <c r="H16" s="24">
        <f>E16+F16-G16</f>
        <v>6427.5999999999985</v>
      </c>
    </row>
    <row r="17" spans="3:8" s="3" customFormat="1" ht="41.25">
      <c r="C17" s="11"/>
      <c r="D17" s="4" t="s">
        <v>0</v>
      </c>
      <c r="E17" s="25">
        <f>SUM(E14:E16)</f>
        <v>20097.72</v>
      </c>
      <c r="F17" s="25">
        <f>SUM(F14:F16)</f>
        <v>88700.4</v>
      </c>
      <c r="G17" s="25">
        <f>SUM(G14:G16)</f>
        <v>55936.26000000001</v>
      </c>
      <c r="H17" s="25">
        <f>SUM(H14:H16)</f>
        <v>52861.85999999999</v>
      </c>
    </row>
    <row r="18" spans="3:8" s="3" customFormat="1" ht="21">
      <c r="C18" s="222" t="s">
        <v>19</v>
      </c>
      <c r="D18" s="223"/>
      <c r="E18" s="223"/>
      <c r="F18" s="223"/>
      <c r="G18" s="223"/>
      <c r="H18" s="224"/>
    </row>
    <row r="19" spans="3:8" s="3" customFormat="1" ht="21" hidden="1">
      <c r="C19" s="11">
        <v>3</v>
      </c>
      <c r="D19" s="11" t="s">
        <v>1</v>
      </c>
      <c r="E19" s="11"/>
      <c r="F19" s="12"/>
      <c r="G19" s="12"/>
      <c r="H19" s="13">
        <f>F19-G19</f>
        <v>0</v>
      </c>
    </row>
    <row r="20" spans="3:8" s="3" customFormat="1" ht="21">
      <c r="C20" s="11">
        <v>4</v>
      </c>
      <c r="D20" s="11" t="s">
        <v>4</v>
      </c>
      <c r="E20" s="24">
        <v>16000.89</v>
      </c>
      <c r="F20" s="27">
        <f>20575.16+3801.42+6122.46+1627.2</f>
        <v>32126.24</v>
      </c>
      <c r="G20" s="27">
        <f>21244.53+4430.12+4786.13+1229.24</f>
        <v>31690.02</v>
      </c>
      <c r="H20" s="27">
        <f>E20+F20-G20</f>
        <v>16437.110000000004</v>
      </c>
    </row>
    <row r="21" spans="3:8" s="3" customFormat="1" ht="21">
      <c r="C21" s="11">
        <v>5</v>
      </c>
      <c r="D21" s="14" t="s">
        <v>2</v>
      </c>
      <c r="E21" s="28">
        <v>11044.79</v>
      </c>
      <c r="F21" s="27">
        <v>31717.4</v>
      </c>
      <c r="G21" s="27">
        <v>18393.77</v>
      </c>
      <c r="H21" s="27">
        <f>E21+F21-G21</f>
        <v>24368.420000000002</v>
      </c>
    </row>
    <row r="22" spans="3:8" s="3" customFormat="1" ht="21">
      <c r="C22" s="15">
        <v>6</v>
      </c>
      <c r="D22" s="14" t="s">
        <v>3</v>
      </c>
      <c r="E22" s="28">
        <v>-29788.88</v>
      </c>
      <c r="F22" s="27"/>
      <c r="G22" s="27"/>
      <c r="H22" s="27">
        <f>E22+F22-G22</f>
        <v>-29788.88</v>
      </c>
    </row>
    <row r="23" spans="3:8" s="3" customFormat="1" ht="21">
      <c r="C23" s="15">
        <v>7</v>
      </c>
      <c r="D23" s="14" t="s">
        <v>77</v>
      </c>
      <c r="E23" s="28">
        <v>2209.45</v>
      </c>
      <c r="F23" s="27">
        <f>10619.24+8729.64</f>
        <v>19348.879999999997</v>
      </c>
      <c r="G23" s="27">
        <f>4704.94+5889.78+217.97</f>
        <v>10812.689999999999</v>
      </c>
      <c r="H23" s="27">
        <f>E23+F23-G23</f>
        <v>10745.64</v>
      </c>
    </row>
    <row r="24" spans="3:8" s="3" customFormat="1" ht="21" hidden="1">
      <c r="C24" s="15">
        <v>7</v>
      </c>
      <c r="D24" s="14" t="s">
        <v>4</v>
      </c>
      <c r="E24" s="28"/>
      <c r="F24" s="27"/>
      <c r="G24" s="27"/>
      <c r="H24" s="27">
        <f>F24-G24</f>
        <v>0</v>
      </c>
    </row>
    <row r="25" spans="3:8" s="3" customFormat="1" ht="41.25">
      <c r="C25" s="11"/>
      <c r="D25" s="4" t="s">
        <v>5</v>
      </c>
      <c r="E25" s="25">
        <f>SUM(E20:E24)</f>
        <v>-533.7500000000009</v>
      </c>
      <c r="F25" s="25">
        <f>SUM(F20:F24)</f>
        <v>83192.51999999999</v>
      </c>
      <c r="G25" s="25">
        <f>SUM(G20:G24)</f>
        <v>60896.479999999996</v>
      </c>
      <c r="H25" s="25">
        <f>SUM(H20:H24)</f>
        <v>21762.290000000005</v>
      </c>
    </row>
    <row r="26" spans="3:8" s="3" customFormat="1" ht="41.25">
      <c r="C26" s="11"/>
      <c r="D26" s="4" t="s">
        <v>6</v>
      </c>
      <c r="E26" s="25">
        <f>E17+E25</f>
        <v>19563.97</v>
      </c>
      <c r="F26" s="25">
        <f>F17+F25</f>
        <v>171892.91999999998</v>
      </c>
      <c r="G26" s="25">
        <f>G17+G25</f>
        <v>116832.74</v>
      </c>
      <c r="H26" s="25">
        <f>H17+H25</f>
        <v>74624.15</v>
      </c>
    </row>
    <row r="27" spans="3:8" s="3" customFormat="1" ht="21">
      <c r="C27" s="16"/>
      <c r="D27" s="17"/>
      <c r="E27" s="17"/>
      <c r="F27" s="18"/>
      <c r="G27" s="18"/>
      <c r="H27" s="18"/>
    </row>
    <row r="28" spans="3:8" s="3" customFormat="1" ht="21">
      <c r="C28" s="16"/>
      <c r="D28" s="17"/>
      <c r="E28" s="17"/>
      <c r="F28" s="18"/>
      <c r="G28" s="18"/>
      <c r="H28" s="18"/>
    </row>
    <row r="29" spans="7:8" s="3" customFormat="1" ht="21">
      <c r="G29" s="8"/>
      <c r="H29" s="8" t="s">
        <v>20</v>
      </c>
    </row>
    <row r="30" spans="3:8" s="3" customFormat="1" ht="25.5">
      <c r="C30" s="170" t="s">
        <v>120</v>
      </c>
      <c r="D30" s="171"/>
      <c r="E30" s="171"/>
      <c r="F30" s="171"/>
      <c r="G30" s="171"/>
      <c r="H30" s="172"/>
    </row>
    <row r="31" spans="3:8" s="3" customFormat="1" ht="63">
      <c r="C31" s="184" t="s">
        <v>121</v>
      </c>
      <c r="D31" s="185"/>
      <c r="E31" s="185"/>
      <c r="F31" s="186"/>
      <c r="G31" s="41" t="s">
        <v>21</v>
      </c>
      <c r="H31" s="54" t="s">
        <v>126</v>
      </c>
    </row>
    <row r="32" spans="3:8" s="3" customFormat="1" ht="188.25" customHeight="1">
      <c r="C32" s="201" t="s">
        <v>123</v>
      </c>
      <c r="D32" s="202"/>
      <c r="E32" s="202"/>
      <c r="F32" s="203"/>
      <c r="G32" s="57">
        <f>F14</f>
        <v>53974.2</v>
      </c>
      <c r="H32" s="57">
        <f>H14</f>
        <v>36504.67</v>
      </c>
    </row>
    <row r="33" spans="3:8" s="3" customFormat="1" ht="25.5">
      <c r="C33" s="170" t="s">
        <v>119</v>
      </c>
      <c r="D33" s="171"/>
      <c r="E33" s="171"/>
      <c r="F33" s="171"/>
      <c r="G33" s="171"/>
      <c r="H33" s="172"/>
    </row>
    <row r="34" spans="3:8" s="3" customFormat="1" ht="63">
      <c r="C34" s="196" t="s">
        <v>132</v>
      </c>
      <c r="D34" s="197"/>
      <c r="E34" s="178" t="s">
        <v>121</v>
      </c>
      <c r="F34" s="179"/>
      <c r="G34" s="180"/>
      <c r="H34" s="89" t="s">
        <v>128</v>
      </c>
    </row>
    <row r="35" spans="3:8" s="3" customFormat="1" ht="21">
      <c r="C35" s="118"/>
      <c r="D35" s="113">
        <v>3647.29</v>
      </c>
      <c r="E35" s="218"/>
      <c r="F35" s="219"/>
      <c r="G35" s="28"/>
      <c r="H35" s="24"/>
    </row>
    <row r="36" spans="3:8" s="3" customFormat="1" ht="21">
      <c r="C36" s="111"/>
      <c r="D36" s="115"/>
      <c r="E36" s="216" t="s">
        <v>140</v>
      </c>
      <c r="F36" s="217"/>
      <c r="G36" s="29">
        <f>SUM(G35:G35)</f>
        <v>0</v>
      </c>
      <c r="H36" s="30">
        <f>F15-G36</f>
        <v>24804.48</v>
      </c>
    </row>
    <row r="37" spans="3:8" s="3" customFormat="1" ht="21">
      <c r="C37" s="112"/>
      <c r="D37" s="116"/>
      <c r="E37" s="216" t="s">
        <v>109</v>
      </c>
      <c r="F37" s="217"/>
      <c r="G37" s="29"/>
      <c r="H37" s="30">
        <f>D35+H36</f>
        <v>28451.77</v>
      </c>
    </row>
    <row r="38" spans="3:8" s="3" customFormat="1" ht="21">
      <c r="C38" s="117">
        <v>3</v>
      </c>
      <c r="D38" s="108" t="s">
        <v>22</v>
      </c>
      <c r="E38" s="244"/>
      <c r="F38" s="245"/>
      <c r="G38" s="19"/>
      <c r="H38" s="11"/>
    </row>
    <row r="39" spans="3:8" s="3" customFormat="1" ht="21">
      <c r="C39" s="239"/>
      <c r="D39" s="240"/>
      <c r="E39" s="231"/>
      <c r="F39" s="231"/>
      <c r="G39" s="19"/>
      <c r="H39" s="11"/>
    </row>
    <row r="40" spans="3:8" s="3" customFormat="1" ht="21">
      <c r="C40" s="240"/>
      <c r="D40" s="240"/>
      <c r="E40" s="231"/>
      <c r="F40" s="231"/>
      <c r="G40" s="19"/>
      <c r="H40" s="11"/>
    </row>
    <row r="41" s="6" customFormat="1" ht="21">
      <c r="C41" s="3"/>
    </row>
    <row r="42" s="5" customFormat="1" ht="15"/>
    <row r="43" spans="4:5" ht="26.25">
      <c r="D43" s="1" t="s">
        <v>106</v>
      </c>
      <c r="E43" s="1"/>
    </row>
    <row r="44" spans="4:5" ht="26.25">
      <c r="D44" s="1" t="s">
        <v>107</v>
      </c>
      <c r="E44" s="1"/>
    </row>
  </sheetData>
  <sheetProtection/>
  <mergeCells count="16">
    <mergeCell ref="E38:F38"/>
    <mergeCell ref="E39:F39"/>
    <mergeCell ref="E40:F40"/>
    <mergeCell ref="C13:H13"/>
    <mergeCell ref="C18:H18"/>
    <mergeCell ref="C39:C40"/>
    <mergeCell ref="D39:D40"/>
    <mergeCell ref="C30:H30"/>
    <mergeCell ref="C31:F31"/>
    <mergeCell ref="C32:F32"/>
    <mergeCell ref="C33:H33"/>
    <mergeCell ref="E37:F37"/>
    <mergeCell ref="C34:D34"/>
    <mergeCell ref="E34:G34"/>
    <mergeCell ref="E35:F35"/>
    <mergeCell ref="E36:F36"/>
  </mergeCells>
  <printOptions/>
  <pageMargins left="0.25" right="0.25" top="0.75" bottom="0.75" header="0.3" footer="0.3"/>
  <pageSetup horizontalDpi="600" verticalDpi="600" orientation="landscape" paperSize="9" scale="70" r:id="rId2"/>
  <rowBreaks count="1" manualBreakCount="1">
    <brk id="28" min="2" max="7" man="1"/>
  </rowBreaks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C1:H46"/>
  <sheetViews>
    <sheetView view="pageBreakPreview" zoomScale="73" zoomScaleNormal="75" zoomScaleSheetLayoutView="73" zoomScalePageLayoutView="0" workbookViewId="0" topLeftCell="A1">
      <selection activeCell="G21" sqref="G21"/>
    </sheetView>
  </sheetViews>
  <sheetFormatPr defaultColWidth="9.140625" defaultRowHeight="15"/>
  <cols>
    <col min="3" max="3" width="9.00390625" style="0" customWidth="1"/>
    <col min="4" max="5" width="40.421875" style="0" customWidth="1"/>
    <col min="6" max="6" width="48.57421875" style="0" customWidth="1"/>
    <col min="7" max="7" width="34.140625" style="0" customWidth="1"/>
    <col min="8" max="8" width="32.00390625" style="0" customWidth="1"/>
  </cols>
  <sheetData>
    <row r="1" spans="4:7" s="1" customFormat="1" ht="28.5">
      <c r="D1" s="20" t="s">
        <v>24</v>
      </c>
      <c r="E1" s="20"/>
      <c r="F1" s="20"/>
      <c r="G1" s="20"/>
    </row>
    <row r="2" spans="4:7" s="1" customFormat="1" ht="28.5">
      <c r="D2" s="20" t="s">
        <v>25</v>
      </c>
      <c r="E2" s="20"/>
      <c r="F2" s="20"/>
      <c r="G2" s="20"/>
    </row>
    <row r="3" spans="4:8" ht="18.75">
      <c r="D3" s="2" t="s">
        <v>26</v>
      </c>
      <c r="E3" s="2"/>
      <c r="F3" s="2"/>
      <c r="G3" s="2"/>
      <c r="H3" s="7"/>
    </row>
    <row r="4" spans="4:8" ht="18.75">
      <c r="D4" s="2" t="s">
        <v>27</v>
      </c>
      <c r="E4" s="2"/>
      <c r="F4" s="2"/>
      <c r="G4" s="2"/>
      <c r="H4" s="7"/>
    </row>
    <row r="5" spans="4:8" ht="15">
      <c r="D5" s="7"/>
      <c r="E5" s="7"/>
      <c r="F5" s="7"/>
      <c r="G5" s="7"/>
      <c r="H5" s="7"/>
    </row>
    <row r="6" spans="4:7" s="3" customFormat="1" ht="26.25">
      <c r="D6" s="1" t="s">
        <v>28</v>
      </c>
      <c r="E6" s="1"/>
      <c r="F6" s="1"/>
      <c r="G6" s="1"/>
    </row>
    <row r="7" spans="4:7" s="3" customFormat="1" ht="26.25">
      <c r="D7" s="1" t="s">
        <v>81</v>
      </c>
      <c r="E7" s="1"/>
      <c r="F7" s="1"/>
      <c r="G7" s="1"/>
    </row>
    <row r="8" spans="4:7" s="3" customFormat="1" ht="26.25">
      <c r="D8" s="1" t="s">
        <v>125</v>
      </c>
      <c r="E8" s="1"/>
      <c r="F8" s="1"/>
      <c r="G8" s="1"/>
    </row>
    <row r="9" spans="4:8" ht="15">
      <c r="D9" s="7"/>
      <c r="E9" s="7"/>
      <c r="F9" s="7"/>
      <c r="G9" s="7"/>
      <c r="H9" s="7"/>
    </row>
    <row r="10" spans="3:8" ht="21">
      <c r="C10" s="3" t="s">
        <v>9</v>
      </c>
      <c r="D10" s="7"/>
      <c r="E10" s="7"/>
      <c r="F10" s="7"/>
      <c r="G10" s="7"/>
      <c r="H10" s="7"/>
    </row>
    <row r="11" s="3" customFormat="1" ht="34.5" customHeight="1">
      <c r="H11" s="8" t="s">
        <v>18</v>
      </c>
    </row>
    <row r="12" spans="3:8" s="10" customFormat="1" ht="40.5">
      <c r="C12" s="9" t="s">
        <v>11</v>
      </c>
      <c r="D12" s="9" t="s">
        <v>12</v>
      </c>
      <c r="E12" s="9" t="s">
        <v>114</v>
      </c>
      <c r="F12" s="9" t="s">
        <v>13</v>
      </c>
      <c r="G12" s="9" t="s">
        <v>14</v>
      </c>
      <c r="H12" s="9" t="s">
        <v>10</v>
      </c>
    </row>
    <row r="13" spans="3:8" s="3" customFormat="1" ht="21">
      <c r="C13" s="222" t="s">
        <v>15</v>
      </c>
      <c r="D13" s="223"/>
      <c r="E13" s="223"/>
      <c r="F13" s="223"/>
      <c r="G13" s="223"/>
      <c r="H13" s="224"/>
    </row>
    <row r="14" spans="3:8" s="3" customFormat="1" ht="21">
      <c r="C14" s="11">
        <v>1</v>
      </c>
      <c r="D14" s="11" t="s">
        <v>16</v>
      </c>
      <c r="E14" s="24">
        <v>2734.4</v>
      </c>
      <c r="F14" s="24">
        <v>22524</v>
      </c>
      <c r="G14" s="24">
        <v>17780.12</v>
      </c>
      <c r="H14" s="24">
        <f>E14+F14-G14</f>
        <v>7478.2800000000025</v>
      </c>
    </row>
    <row r="15" spans="3:8" s="3" customFormat="1" ht="21">
      <c r="C15" s="11">
        <v>2</v>
      </c>
      <c r="D15" s="11" t="s">
        <v>17</v>
      </c>
      <c r="E15" s="24">
        <v>1289.81</v>
      </c>
      <c r="F15" s="24">
        <v>10624.56</v>
      </c>
      <c r="G15" s="24">
        <v>8074.65</v>
      </c>
      <c r="H15" s="24">
        <f>E15+F15-G15</f>
        <v>3839.7199999999993</v>
      </c>
    </row>
    <row r="16" spans="3:8" s="3" customFormat="1" ht="42">
      <c r="C16" s="11">
        <v>3</v>
      </c>
      <c r="D16" s="22" t="s">
        <v>87</v>
      </c>
      <c r="E16" s="24">
        <v>361.13</v>
      </c>
      <c r="F16" s="24">
        <v>2974.92</v>
      </c>
      <c r="G16" s="24">
        <v>2260.95</v>
      </c>
      <c r="H16" s="24">
        <f>E16+F16-G16</f>
        <v>1075.1000000000004</v>
      </c>
    </row>
    <row r="17" spans="3:8" s="3" customFormat="1" ht="41.25">
      <c r="C17" s="11"/>
      <c r="D17" s="4" t="s">
        <v>0</v>
      </c>
      <c r="E17" s="25">
        <f>SUM(E14:E16)</f>
        <v>4385.34</v>
      </c>
      <c r="F17" s="25">
        <f>SUM(F14:F16)</f>
        <v>36123.479999999996</v>
      </c>
      <c r="G17" s="25">
        <f>SUM(G14:G16)</f>
        <v>28115.719999999998</v>
      </c>
      <c r="H17" s="25">
        <f>SUM(H14:H16)</f>
        <v>12393.100000000002</v>
      </c>
    </row>
    <row r="18" spans="3:8" s="3" customFormat="1" ht="21">
      <c r="C18" s="222" t="s">
        <v>19</v>
      </c>
      <c r="D18" s="223"/>
      <c r="E18" s="223"/>
      <c r="F18" s="223"/>
      <c r="G18" s="223"/>
      <c r="H18" s="224"/>
    </row>
    <row r="19" spans="3:8" s="3" customFormat="1" ht="21" hidden="1">
      <c r="C19" s="11">
        <v>3</v>
      </c>
      <c r="D19" s="11" t="s">
        <v>1</v>
      </c>
      <c r="E19" s="11"/>
      <c r="F19" s="12"/>
      <c r="G19" s="12"/>
      <c r="H19" s="13">
        <f>F19-G19</f>
        <v>0</v>
      </c>
    </row>
    <row r="20" spans="3:8" s="3" customFormat="1" ht="21">
      <c r="C20" s="11">
        <v>4</v>
      </c>
      <c r="D20" s="11" t="s">
        <v>4</v>
      </c>
      <c r="E20" s="24">
        <v>2776.89</v>
      </c>
      <c r="F20" s="27">
        <f>9284.81+4982.16+2908.47+1306.4</f>
        <v>18481.84</v>
      </c>
      <c r="G20" s="27">
        <f>8395.14+4823.42+2354.34+1147.33</f>
        <v>16720.23</v>
      </c>
      <c r="H20" s="27">
        <f>E20+F20-G20</f>
        <v>4538.5</v>
      </c>
    </row>
    <row r="21" spans="3:8" s="3" customFormat="1" ht="21">
      <c r="C21" s="11">
        <v>5</v>
      </c>
      <c r="D21" s="14" t="s">
        <v>2</v>
      </c>
      <c r="E21" s="28">
        <v>3014.88</v>
      </c>
      <c r="F21" s="27">
        <v>21117.91</v>
      </c>
      <c r="G21" s="27">
        <v>11649.3</v>
      </c>
      <c r="H21" s="27">
        <f>E21+F21-G21</f>
        <v>12483.490000000002</v>
      </c>
    </row>
    <row r="22" spans="3:8" s="3" customFormat="1" ht="21">
      <c r="C22" s="15">
        <v>6</v>
      </c>
      <c r="D22" s="14" t="s">
        <v>3</v>
      </c>
      <c r="E22" s="28">
        <v>-27548.41</v>
      </c>
      <c r="F22" s="27"/>
      <c r="G22" s="27"/>
      <c r="H22" s="27">
        <f>E22+F22-G22</f>
        <v>-27548.41</v>
      </c>
    </row>
    <row r="23" spans="3:8" s="3" customFormat="1" ht="21">
      <c r="C23" s="15">
        <v>7</v>
      </c>
      <c r="D23" s="14" t="s">
        <v>89</v>
      </c>
      <c r="E23" s="28">
        <v>1098.86</v>
      </c>
      <c r="F23" s="27">
        <f>10478.8+3686.67</f>
        <v>14165.47</v>
      </c>
      <c r="G23" s="27">
        <f>4738.6+3353.78+143.73</f>
        <v>8236.11</v>
      </c>
      <c r="H23" s="27">
        <f>E23+F23-G23</f>
        <v>7028.219999999999</v>
      </c>
    </row>
    <row r="24" spans="3:8" s="3" customFormat="1" ht="21" hidden="1">
      <c r="C24" s="15">
        <v>7</v>
      </c>
      <c r="D24" s="14" t="s">
        <v>4</v>
      </c>
      <c r="E24" s="28"/>
      <c r="F24" s="27"/>
      <c r="G24" s="27"/>
      <c r="H24" s="27">
        <f>F24-G24</f>
        <v>0</v>
      </c>
    </row>
    <row r="25" spans="3:8" s="3" customFormat="1" ht="41.25">
      <c r="C25" s="11"/>
      <c r="D25" s="4" t="s">
        <v>5</v>
      </c>
      <c r="E25" s="25">
        <f>SUM(E20:E24)</f>
        <v>-20657.78</v>
      </c>
      <c r="F25" s="25">
        <f>SUM(F20:F24)</f>
        <v>53765.22</v>
      </c>
      <c r="G25" s="25">
        <f>SUM(G20:G24)</f>
        <v>36605.64</v>
      </c>
      <c r="H25" s="25">
        <f>SUM(H20:H24)</f>
        <v>-3498.199999999999</v>
      </c>
    </row>
    <row r="26" spans="3:8" s="3" customFormat="1" ht="41.25">
      <c r="C26" s="11"/>
      <c r="D26" s="4" t="s">
        <v>6</v>
      </c>
      <c r="E26" s="25">
        <f>E17+E25</f>
        <v>-16272.439999999999</v>
      </c>
      <c r="F26" s="25">
        <f>F17+F25</f>
        <v>89888.7</v>
      </c>
      <c r="G26" s="25">
        <f>G17+G25</f>
        <v>64721.36</v>
      </c>
      <c r="H26" s="25">
        <f>H17+H25</f>
        <v>8894.900000000003</v>
      </c>
    </row>
    <row r="27" spans="3:8" s="3" customFormat="1" ht="21">
      <c r="C27" s="16"/>
      <c r="D27" s="17"/>
      <c r="E27" s="17"/>
      <c r="F27" s="18"/>
      <c r="G27" s="18"/>
      <c r="H27" s="18"/>
    </row>
    <row r="28" spans="3:8" s="3" customFormat="1" ht="21">
      <c r="C28" s="16"/>
      <c r="D28" s="17"/>
      <c r="E28" s="17"/>
      <c r="F28" s="18"/>
      <c r="G28" s="18"/>
      <c r="H28" s="18"/>
    </row>
    <row r="29" spans="7:8" s="3" customFormat="1" ht="21">
      <c r="G29" s="8"/>
      <c r="H29" s="8" t="s">
        <v>20</v>
      </c>
    </row>
    <row r="30" spans="3:8" s="3" customFormat="1" ht="25.5">
      <c r="C30" s="170" t="s">
        <v>120</v>
      </c>
      <c r="D30" s="171"/>
      <c r="E30" s="171"/>
      <c r="F30" s="171"/>
      <c r="G30" s="171"/>
      <c r="H30" s="172"/>
    </row>
    <row r="31" spans="3:8" s="3" customFormat="1" ht="42">
      <c r="C31" s="184" t="s">
        <v>121</v>
      </c>
      <c r="D31" s="185"/>
      <c r="E31" s="185"/>
      <c r="F31" s="186"/>
      <c r="G31" s="41" t="s">
        <v>21</v>
      </c>
      <c r="H31" s="54" t="s">
        <v>126</v>
      </c>
    </row>
    <row r="32" spans="3:8" s="3" customFormat="1" ht="180.75" customHeight="1">
      <c r="C32" s="201" t="s">
        <v>123</v>
      </c>
      <c r="D32" s="202"/>
      <c r="E32" s="202"/>
      <c r="F32" s="203"/>
      <c r="G32" s="57">
        <f>F14</f>
        <v>22524</v>
      </c>
      <c r="H32" s="57">
        <f>H14</f>
        <v>7478.2800000000025</v>
      </c>
    </row>
    <row r="33" spans="3:8" s="3" customFormat="1" ht="25.5">
      <c r="C33" s="170" t="s">
        <v>119</v>
      </c>
      <c r="D33" s="171"/>
      <c r="E33" s="171"/>
      <c r="F33" s="171"/>
      <c r="G33" s="171"/>
      <c r="H33" s="172"/>
    </row>
    <row r="34" spans="3:8" s="3" customFormat="1" ht="63">
      <c r="C34" s="196" t="s">
        <v>132</v>
      </c>
      <c r="D34" s="197"/>
      <c r="E34" s="178" t="s">
        <v>121</v>
      </c>
      <c r="F34" s="179"/>
      <c r="G34" s="180"/>
      <c r="H34" s="89" t="s">
        <v>128</v>
      </c>
    </row>
    <row r="35" spans="3:8" s="3" customFormat="1" ht="21">
      <c r="C35" s="118"/>
      <c r="D35" s="125">
        <v>13040.32</v>
      </c>
      <c r="E35" s="218"/>
      <c r="F35" s="219"/>
      <c r="G35" s="28"/>
      <c r="H35" s="24"/>
    </row>
    <row r="36" spans="3:8" s="3" customFormat="1" ht="21">
      <c r="C36" s="111"/>
      <c r="D36" s="115"/>
      <c r="E36" s="216" t="s">
        <v>140</v>
      </c>
      <c r="F36" s="217"/>
      <c r="G36" s="29">
        <f>SUM(G35:G35)</f>
        <v>0</v>
      </c>
      <c r="H36" s="30">
        <f>G15-G36</f>
        <v>8074.65</v>
      </c>
    </row>
    <row r="37" spans="3:8" s="3" customFormat="1" ht="21">
      <c r="C37" s="112"/>
      <c r="D37" s="116"/>
      <c r="E37" s="220" t="s">
        <v>141</v>
      </c>
      <c r="F37" s="221"/>
      <c r="G37" s="29"/>
      <c r="H37" s="30">
        <f>H36+D35</f>
        <v>21114.97</v>
      </c>
    </row>
    <row r="38" spans="3:8" s="3" customFormat="1" ht="21">
      <c r="C38" s="117">
        <v>3</v>
      </c>
      <c r="D38" s="108" t="s">
        <v>22</v>
      </c>
      <c r="E38" s="267"/>
      <c r="F38" s="268"/>
      <c r="G38" s="19"/>
      <c r="H38" s="11"/>
    </row>
    <row r="39" spans="3:8" s="3" customFormat="1" ht="21">
      <c r="C39" s="226"/>
      <c r="D39" s="226"/>
      <c r="E39" s="231"/>
      <c r="F39" s="231"/>
      <c r="G39" s="19"/>
      <c r="H39" s="11"/>
    </row>
    <row r="40" spans="3:8" s="3" customFormat="1" ht="21">
      <c r="C40" s="227"/>
      <c r="D40" s="227"/>
      <c r="E40" s="269"/>
      <c r="F40" s="270"/>
      <c r="G40" s="19"/>
      <c r="H40" s="11"/>
    </row>
    <row r="41" s="6" customFormat="1" ht="21">
      <c r="C41" s="3"/>
    </row>
    <row r="42" spans="3:8" s="6" customFormat="1" ht="60.75">
      <c r="C42" s="41" t="s">
        <v>11</v>
      </c>
      <c r="D42" s="41" t="s">
        <v>50</v>
      </c>
      <c r="E42" s="41" t="s">
        <v>48</v>
      </c>
      <c r="F42" s="41" t="s">
        <v>129</v>
      </c>
      <c r="G42" s="41" t="s">
        <v>130</v>
      </c>
      <c r="H42" s="41" t="s">
        <v>131</v>
      </c>
    </row>
    <row r="43" spans="3:8" s="6" customFormat="1" ht="21">
      <c r="C43" s="15">
        <v>1</v>
      </c>
      <c r="D43" s="15" t="s">
        <v>90</v>
      </c>
      <c r="E43" s="43"/>
      <c r="F43" s="43">
        <v>78095.74</v>
      </c>
      <c r="G43" s="43">
        <v>43251.68</v>
      </c>
      <c r="H43" s="43">
        <f>F43-G43</f>
        <v>34844.060000000005</v>
      </c>
    </row>
    <row r="44" s="6" customFormat="1" ht="21">
      <c r="C44" s="3"/>
    </row>
    <row r="45" spans="4:6" s="5" customFormat="1" ht="26.25">
      <c r="D45" s="1" t="s">
        <v>106</v>
      </c>
      <c r="E45" s="1"/>
      <c r="F45"/>
    </row>
    <row r="46" spans="4:5" ht="26.25">
      <c r="D46" s="1" t="s">
        <v>107</v>
      </c>
      <c r="E46" s="1"/>
    </row>
  </sheetData>
  <sheetProtection/>
  <mergeCells count="16">
    <mergeCell ref="C39:C40"/>
    <mergeCell ref="D39:D40"/>
    <mergeCell ref="E37:F37"/>
    <mergeCell ref="E36:F36"/>
    <mergeCell ref="E38:F38"/>
    <mergeCell ref="E39:F39"/>
    <mergeCell ref="E40:F40"/>
    <mergeCell ref="C34:D34"/>
    <mergeCell ref="E34:G34"/>
    <mergeCell ref="E35:F35"/>
    <mergeCell ref="C13:H13"/>
    <mergeCell ref="C18:H18"/>
    <mergeCell ref="C30:H30"/>
    <mergeCell ref="C31:F31"/>
    <mergeCell ref="C32:F32"/>
    <mergeCell ref="C33:H33"/>
  </mergeCells>
  <printOptions/>
  <pageMargins left="0.25" right="0.25" top="0.75" bottom="0.75" header="0.3" footer="0.3"/>
  <pageSetup horizontalDpi="600" verticalDpi="600" orientation="landscape" paperSize="9" scale="69" r:id="rId2"/>
  <rowBreaks count="1" manualBreakCount="1">
    <brk id="28" min="2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1:J61"/>
  <sheetViews>
    <sheetView view="pageBreakPreview" zoomScale="73" zoomScaleSheetLayoutView="73" zoomScalePageLayoutView="0" workbookViewId="0" topLeftCell="A37">
      <selection activeCell="C51" sqref="C51:H53"/>
    </sheetView>
  </sheetViews>
  <sheetFormatPr defaultColWidth="9.140625" defaultRowHeight="15"/>
  <cols>
    <col min="1" max="2" width="9.140625" style="37" customWidth="1"/>
    <col min="3" max="3" width="9.00390625" style="37" customWidth="1"/>
    <col min="4" max="5" width="37.8515625" style="37" customWidth="1"/>
    <col min="6" max="6" width="44.421875" style="37" customWidth="1"/>
    <col min="7" max="7" width="28.421875" style="37" customWidth="1"/>
    <col min="8" max="8" width="30.7109375" style="37" customWidth="1"/>
    <col min="9" max="9" width="17.57421875" style="37" customWidth="1"/>
    <col min="10" max="10" width="11.421875" style="37" bestFit="1" customWidth="1"/>
    <col min="11" max="16384" width="9.140625" style="37" customWidth="1"/>
  </cols>
  <sheetData>
    <row r="1" spans="4:7" s="35" customFormat="1" ht="28.5">
      <c r="D1" s="36" t="s">
        <v>24</v>
      </c>
      <c r="E1" s="36"/>
      <c r="F1" s="36"/>
      <c r="G1" s="36"/>
    </row>
    <row r="2" spans="4:7" s="35" customFormat="1" ht="28.5">
      <c r="D2" s="36" t="s">
        <v>25</v>
      </c>
      <c r="E2" s="36"/>
      <c r="F2" s="36"/>
      <c r="G2" s="36"/>
    </row>
    <row r="3" spans="4:8" ht="18.75">
      <c r="D3" s="38" t="s">
        <v>26</v>
      </c>
      <c r="E3" s="38"/>
      <c r="F3" s="38"/>
      <c r="G3" s="38"/>
      <c r="H3" s="39"/>
    </row>
    <row r="4" spans="4:8" ht="18.75">
      <c r="D4" s="38" t="s">
        <v>27</v>
      </c>
      <c r="E4" s="38"/>
      <c r="F4" s="38"/>
      <c r="G4" s="38"/>
      <c r="H4" s="39"/>
    </row>
    <row r="5" spans="4:8" ht="15">
      <c r="D5" s="39"/>
      <c r="E5" s="39"/>
      <c r="F5" s="39"/>
      <c r="G5" s="39"/>
      <c r="H5" s="39"/>
    </row>
    <row r="6" spans="4:7" s="40" customFormat="1" ht="26.25">
      <c r="D6" s="35" t="s">
        <v>28</v>
      </c>
      <c r="E6" s="35"/>
      <c r="F6" s="35"/>
      <c r="G6" s="35"/>
    </row>
    <row r="7" spans="4:7" s="40" customFormat="1" ht="26.25">
      <c r="D7" s="35" t="s">
        <v>32</v>
      </c>
      <c r="E7" s="35"/>
      <c r="F7" s="35"/>
      <c r="G7" s="35"/>
    </row>
    <row r="8" spans="4:7" s="40" customFormat="1" ht="26.25">
      <c r="D8" s="35" t="s">
        <v>125</v>
      </c>
      <c r="E8" s="35"/>
      <c r="F8" s="35"/>
      <c r="G8" s="35"/>
    </row>
    <row r="9" spans="4:8" ht="15">
      <c r="D9" s="39"/>
      <c r="E9" s="39"/>
      <c r="F9" s="39"/>
      <c r="G9" s="39"/>
      <c r="H9" s="39"/>
    </row>
    <row r="10" spans="3:8" ht="21">
      <c r="C10" s="40" t="s">
        <v>34</v>
      </c>
      <c r="D10" s="39"/>
      <c r="E10" s="39"/>
      <c r="F10" s="39"/>
      <c r="G10" s="39"/>
      <c r="H10" s="39"/>
    </row>
    <row r="11" s="40" customFormat="1" ht="34.5" customHeight="1">
      <c r="H11" s="53" t="s">
        <v>18</v>
      </c>
    </row>
    <row r="12" spans="3:8" s="42" customFormat="1" ht="60.75">
      <c r="C12" s="41" t="s">
        <v>11</v>
      </c>
      <c r="D12" s="41" t="s">
        <v>12</v>
      </c>
      <c r="E12" s="41" t="s">
        <v>114</v>
      </c>
      <c r="F12" s="41" t="s">
        <v>13</v>
      </c>
      <c r="G12" s="41" t="s">
        <v>14</v>
      </c>
      <c r="H12" s="41" t="s">
        <v>151</v>
      </c>
    </row>
    <row r="13" spans="3:8" s="40" customFormat="1" ht="21">
      <c r="C13" s="181" t="s">
        <v>15</v>
      </c>
      <c r="D13" s="182"/>
      <c r="E13" s="182"/>
      <c r="F13" s="182"/>
      <c r="G13" s="182"/>
      <c r="H13" s="183"/>
    </row>
    <row r="14" spans="3:8" s="40" customFormat="1" ht="21">
      <c r="C14" s="15">
        <v>1</v>
      </c>
      <c r="D14" s="15" t="s">
        <v>16</v>
      </c>
      <c r="E14" s="43">
        <v>20150.79</v>
      </c>
      <c r="F14" s="43">
        <v>154855.92</v>
      </c>
      <c r="G14" s="43">
        <v>133001.15</v>
      </c>
      <c r="H14" s="43">
        <f>E14+F14-G14</f>
        <v>42005.56000000003</v>
      </c>
    </row>
    <row r="15" spans="3:8" s="40" customFormat="1" ht="21">
      <c r="C15" s="15">
        <v>2</v>
      </c>
      <c r="D15" s="15" t="s">
        <v>17</v>
      </c>
      <c r="E15" s="43">
        <v>6337.24</v>
      </c>
      <c r="F15" s="43">
        <v>38407.51</v>
      </c>
      <c r="G15" s="43">
        <v>42476.81</v>
      </c>
      <c r="H15" s="43">
        <f>E15+F15-G15</f>
        <v>2267.9400000000023</v>
      </c>
    </row>
    <row r="16" spans="3:8" s="40" customFormat="1" ht="21">
      <c r="C16" s="15">
        <v>3</v>
      </c>
      <c r="D16" s="15" t="s">
        <v>92</v>
      </c>
      <c r="E16" s="43">
        <v>5278.76</v>
      </c>
      <c r="F16" s="43">
        <v>37300</v>
      </c>
      <c r="G16" s="43">
        <v>34888.32</v>
      </c>
      <c r="H16" s="43">
        <f>E16+F16-G16</f>
        <v>7690.440000000002</v>
      </c>
    </row>
    <row r="17" spans="3:8" s="40" customFormat="1" ht="42">
      <c r="C17" s="15">
        <v>4</v>
      </c>
      <c r="D17" s="67" t="s">
        <v>87</v>
      </c>
      <c r="E17" s="43">
        <v>6626.73</v>
      </c>
      <c r="F17" s="43">
        <v>37300</v>
      </c>
      <c r="G17" s="43">
        <v>34808.32</v>
      </c>
      <c r="H17" s="43">
        <f>E17+F17-G17</f>
        <v>9118.409999999996</v>
      </c>
    </row>
    <row r="18" spans="3:8" s="40" customFormat="1" ht="41.25">
      <c r="C18" s="15"/>
      <c r="D18" s="44" t="s">
        <v>0</v>
      </c>
      <c r="E18" s="45">
        <f>SUM(E14:E17)</f>
        <v>38393.520000000004</v>
      </c>
      <c r="F18" s="45">
        <f>SUM(F14:F17)</f>
        <v>267863.43000000005</v>
      </c>
      <c r="G18" s="45">
        <f>SUM(G14:G17)</f>
        <v>245174.6</v>
      </c>
      <c r="H18" s="45">
        <f>SUM(H14:H17)</f>
        <v>61082.35000000003</v>
      </c>
    </row>
    <row r="19" spans="3:8" s="40" customFormat="1" ht="21">
      <c r="C19" s="181" t="s">
        <v>19</v>
      </c>
      <c r="D19" s="182"/>
      <c r="E19" s="182"/>
      <c r="F19" s="182"/>
      <c r="G19" s="182"/>
      <c r="H19" s="183"/>
    </row>
    <row r="20" spans="3:8" s="40" customFormat="1" ht="21">
      <c r="C20" s="15">
        <v>5</v>
      </c>
      <c r="D20" s="15" t="s">
        <v>1</v>
      </c>
      <c r="E20" s="43">
        <v>55179.99</v>
      </c>
      <c r="F20" s="47">
        <f>319558.59+11928.97</f>
        <v>331487.56</v>
      </c>
      <c r="G20" s="47">
        <v>236142.61</v>
      </c>
      <c r="H20" s="47">
        <f>E20+F20-G20</f>
        <v>150524.94</v>
      </c>
    </row>
    <row r="21" spans="3:8" s="40" customFormat="1" ht="21">
      <c r="C21" s="15">
        <v>6</v>
      </c>
      <c r="D21" s="48" t="s">
        <v>2</v>
      </c>
      <c r="E21" s="49">
        <v>8703.29</v>
      </c>
      <c r="F21" s="47">
        <v>50584.5</v>
      </c>
      <c r="G21" s="47">
        <v>46730.19</v>
      </c>
      <c r="H21" s="47">
        <f>E21+F21-G21</f>
        <v>12557.599999999999</v>
      </c>
    </row>
    <row r="22" spans="3:8" s="40" customFormat="1" ht="21">
      <c r="C22" s="15">
        <v>7</v>
      </c>
      <c r="D22" s="48" t="s">
        <v>7</v>
      </c>
      <c r="E22" s="49">
        <v>25473.45</v>
      </c>
      <c r="F22" s="47">
        <v>142999.16</v>
      </c>
      <c r="G22" s="47">
        <v>102835.2</v>
      </c>
      <c r="H22" s="47">
        <f>E22+F22-G22</f>
        <v>65637.41000000002</v>
      </c>
    </row>
    <row r="23" spans="3:8" s="40" customFormat="1" ht="21">
      <c r="C23" s="15">
        <v>8</v>
      </c>
      <c r="D23" s="48" t="s">
        <v>3</v>
      </c>
      <c r="E23" s="49">
        <v>8374.36</v>
      </c>
      <c r="F23" s="47">
        <v>46596.73</v>
      </c>
      <c r="G23" s="47">
        <v>43109.48</v>
      </c>
      <c r="H23" s="47">
        <f>E23+F23-G23</f>
        <v>11861.61</v>
      </c>
    </row>
    <row r="24" spans="3:8" s="40" customFormat="1" ht="41.25">
      <c r="C24" s="15">
        <v>9</v>
      </c>
      <c r="D24" s="48" t="s">
        <v>4</v>
      </c>
      <c r="E24" s="49">
        <v>14653.18</v>
      </c>
      <c r="F24" s="47">
        <f>106147.6+12334.06</f>
        <v>118481.66</v>
      </c>
      <c r="G24" s="47">
        <f>11880.42+1341.1+84061.01+8178.56</f>
        <v>105461.09</v>
      </c>
      <c r="H24" s="47">
        <f>E24+F24-G24</f>
        <v>27673.75</v>
      </c>
    </row>
    <row r="25" spans="3:8" s="40" customFormat="1" ht="41.25">
      <c r="C25" s="15"/>
      <c r="D25" s="44" t="s">
        <v>5</v>
      </c>
      <c r="E25" s="45">
        <f>SUM(E20:E24)</f>
        <v>112384.26999999999</v>
      </c>
      <c r="F25" s="45">
        <f>SUM(F20:F24)</f>
        <v>690149.61</v>
      </c>
      <c r="G25" s="45">
        <f>SUM(G20:G24)</f>
        <v>534278.57</v>
      </c>
      <c r="H25" s="45">
        <f>SUM(H20:H24)</f>
        <v>268255.31</v>
      </c>
    </row>
    <row r="26" spans="3:8" s="40" customFormat="1" ht="41.25">
      <c r="C26" s="15"/>
      <c r="D26" s="44" t="s">
        <v>6</v>
      </c>
      <c r="E26" s="45">
        <f>E18+E25</f>
        <v>150777.78999999998</v>
      </c>
      <c r="F26" s="45">
        <f>F18+F25</f>
        <v>958013.04</v>
      </c>
      <c r="G26" s="45">
        <f>G18+G25</f>
        <v>779453.1699999999</v>
      </c>
      <c r="H26" s="45">
        <f>H18+H25</f>
        <v>329337.66000000003</v>
      </c>
    </row>
    <row r="27" spans="3:8" s="40" customFormat="1" ht="21">
      <c r="C27" s="50"/>
      <c r="D27" s="51"/>
      <c r="E27" s="51"/>
      <c r="F27" s="52"/>
      <c r="G27" s="52"/>
      <c r="H27" s="52"/>
    </row>
    <row r="28" spans="3:8" s="40" customFormat="1" ht="21">
      <c r="C28" s="50"/>
      <c r="D28" s="51"/>
      <c r="E28" s="51"/>
      <c r="F28" s="52"/>
      <c r="G28" s="52"/>
      <c r="H28" s="52"/>
    </row>
    <row r="29" spans="7:8" s="40" customFormat="1" ht="21">
      <c r="G29" s="53"/>
      <c r="H29" s="53" t="s">
        <v>20</v>
      </c>
    </row>
    <row r="30" spans="3:8" s="40" customFormat="1" ht="30.75" customHeight="1">
      <c r="C30" s="170" t="s">
        <v>120</v>
      </c>
      <c r="D30" s="171"/>
      <c r="E30" s="171"/>
      <c r="F30" s="171"/>
      <c r="G30" s="171"/>
      <c r="H30" s="172"/>
    </row>
    <row r="31" spans="3:8" s="55" customFormat="1" ht="63">
      <c r="C31" s="184" t="s">
        <v>121</v>
      </c>
      <c r="D31" s="185"/>
      <c r="E31" s="185"/>
      <c r="F31" s="186"/>
      <c r="G31" s="41" t="s">
        <v>21</v>
      </c>
      <c r="H31" s="54" t="s">
        <v>126</v>
      </c>
    </row>
    <row r="32" spans="3:8" s="40" customFormat="1" ht="213.75" customHeight="1">
      <c r="C32" s="201" t="s">
        <v>123</v>
      </c>
      <c r="D32" s="202"/>
      <c r="E32" s="202"/>
      <c r="F32" s="203"/>
      <c r="G32" s="57">
        <f>F14</f>
        <v>154855.92</v>
      </c>
      <c r="H32" s="57">
        <f>H14</f>
        <v>42005.56000000003</v>
      </c>
    </row>
    <row r="33" spans="3:8" s="40" customFormat="1" ht="49.5" customHeight="1">
      <c r="C33" s="170" t="s">
        <v>119</v>
      </c>
      <c r="D33" s="171"/>
      <c r="E33" s="171"/>
      <c r="F33" s="171"/>
      <c r="G33" s="171"/>
      <c r="H33" s="172"/>
    </row>
    <row r="34" spans="3:8" s="40" customFormat="1" ht="91.5" customHeight="1">
      <c r="C34" s="196" t="s">
        <v>132</v>
      </c>
      <c r="D34" s="197"/>
      <c r="E34" s="178" t="s">
        <v>121</v>
      </c>
      <c r="F34" s="179"/>
      <c r="G34" s="180"/>
      <c r="H34" s="89" t="s">
        <v>128</v>
      </c>
    </row>
    <row r="35" spans="3:8" s="40" customFormat="1" ht="21">
      <c r="C35" s="97"/>
      <c r="D35" s="100">
        <v>35689.99</v>
      </c>
      <c r="E35" s="165" t="s">
        <v>152</v>
      </c>
      <c r="F35" s="165"/>
      <c r="G35" s="59">
        <f>98+8+14</f>
        <v>120</v>
      </c>
      <c r="H35" s="57"/>
    </row>
    <row r="36" spans="3:10" s="40" customFormat="1" ht="21">
      <c r="C36" s="98"/>
      <c r="D36" s="101"/>
      <c r="E36" s="165" t="s">
        <v>153</v>
      </c>
      <c r="F36" s="165"/>
      <c r="G36" s="59">
        <f>4955+60+110+38.2+11.75+12+16.65</f>
        <v>5203.599999999999</v>
      </c>
      <c r="H36" s="57"/>
      <c r="J36" s="69"/>
    </row>
    <row r="37" spans="3:8" s="40" customFormat="1" ht="21">
      <c r="C37" s="98"/>
      <c r="D37" s="102"/>
      <c r="E37" s="165" t="s">
        <v>154</v>
      </c>
      <c r="F37" s="165"/>
      <c r="G37" s="59">
        <v>138</v>
      </c>
      <c r="H37" s="57"/>
    </row>
    <row r="38" spans="3:8" s="40" customFormat="1" ht="21">
      <c r="C38" s="98"/>
      <c r="D38" s="102"/>
      <c r="E38" s="165" t="s">
        <v>155</v>
      </c>
      <c r="F38" s="165"/>
      <c r="G38" s="59">
        <f>4400+115</f>
        <v>4515</v>
      </c>
      <c r="H38" s="57"/>
    </row>
    <row r="39" spans="3:8" s="40" customFormat="1" ht="21">
      <c r="C39" s="98"/>
      <c r="D39" s="102"/>
      <c r="E39" s="165"/>
      <c r="F39" s="165"/>
      <c r="G39" s="59"/>
      <c r="H39" s="57"/>
    </row>
    <row r="40" spans="3:8" s="40" customFormat="1" ht="21">
      <c r="C40" s="98"/>
      <c r="D40" s="98"/>
      <c r="E40" s="195" t="s">
        <v>140</v>
      </c>
      <c r="F40" s="195"/>
      <c r="G40" s="62">
        <f>SUM(G35:G39)</f>
        <v>9976.599999999999</v>
      </c>
      <c r="H40" s="62">
        <f>G15-G40</f>
        <v>32500.21</v>
      </c>
    </row>
    <row r="41" spans="3:8" s="40" customFormat="1" ht="21">
      <c r="C41" s="99"/>
      <c r="D41" s="99"/>
      <c r="E41" s="195" t="s">
        <v>141</v>
      </c>
      <c r="F41" s="195"/>
      <c r="G41" s="62"/>
      <c r="H41" s="62">
        <f>D35+H40</f>
        <v>68190.2</v>
      </c>
    </row>
    <row r="42" spans="3:8" s="40" customFormat="1" ht="21">
      <c r="C42" s="96">
        <v>3</v>
      </c>
      <c r="D42" s="94" t="s">
        <v>22</v>
      </c>
      <c r="E42" s="176"/>
      <c r="F42" s="177"/>
      <c r="G42" s="58"/>
      <c r="H42" s="15"/>
    </row>
    <row r="43" spans="3:8" s="40" customFormat="1" ht="21">
      <c r="C43" s="198"/>
      <c r="D43" s="200"/>
      <c r="E43" s="164"/>
      <c r="F43" s="164"/>
      <c r="G43" s="58"/>
      <c r="H43" s="15"/>
    </row>
    <row r="44" spans="3:8" s="40" customFormat="1" ht="21">
      <c r="C44" s="199"/>
      <c r="D44" s="174"/>
      <c r="E44" s="164"/>
      <c r="F44" s="164"/>
      <c r="G44" s="58"/>
      <c r="H44" s="15"/>
    </row>
    <row r="45" spans="3:8" s="40" customFormat="1" ht="21">
      <c r="C45" s="199"/>
      <c r="D45" s="174"/>
      <c r="E45" s="164"/>
      <c r="F45" s="164"/>
      <c r="G45" s="58"/>
      <c r="H45" s="15"/>
    </row>
    <row r="46" spans="3:8" s="40" customFormat="1" ht="21">
      <c r="C46" s="175"/>
      <c r="D46" s="175"/>
      <c r="E46" s="164"/>
      <c r="F46" s="164"/>
      <c r="G46" s="58"/>
      <c r="H46" s="15"/>
    </row>
    <row r="47" spans="3:8" s="40" customFormat="1" ht="21">
      <c r="C47" s="79"/>
      <c r="D47" s="79"/>
      <c r="E47" s="131"/>
      <c r="F47" s="131"/>
      <c r="G47" s="77"/>
      <c r="H47" s="50"/>
    </row>
    <row r="48" spans="3:9" s="40" customFormat="1" ht="61.5">
      <c r="C48" s="41" t="s">
        <v>11</v>
      </c>
      <c r="D48" s="41" t="s">
        <v>50</v>
      </c>
      <c r="E48" s="41" t="s">
        <v>48</v>
      </c>
      <c r="F48" s="41" t="s">
        <v>129</v>
      </c>
      <c r="G48" s="41" t="s">
        <v>130</v>
      </c>
      <c r="H48" s="41" t="s">
        <v>131</v>
      </c>
      <c r="I48" s="41" t="s">
        <v>115</v>
      </c>
    </row>
    <row r="49" spans="3:9" s="40" customFormat="1" ht="21">
      <c r="C49" s="15">
        <v>1</v>
      </c>
      <c r="D49" s="15" t="s">
        <v>90</v>
      </c>
      <c r="E49" s="43">
        <v>168768</v>
      </c>
      <c r="F49" s="43">
        <v>79847.53</v>
      </c>
      <c r="G49" s="43">
        <v>54113.22</v>
      </c>
      <c r="H49" s="43">
        <f>F49-G49</f>
        <v>25734.309999999998</v>
      </c>
      <c r="I49" s="43">
        <f>E49-F49</f>
        <v>88920.47</v>
      </c>
    </row>
    <row r="50" spans="3:8" s="40" customFormat="1" ht="21">
      <c r="C50" s="79"/>
      <c r="D50" s="79"/>
      <c r="E50" s="131"/>
      <c r="F50" s="131"/>
      <c r="G50" s="77"/>
      <c r="H50" s="50"/>
    </row>
    <row r="51" spans="3:8" s="40" customFormat="1" ht="25.5">
      <c r="C51" s="170" t="s">
        <v>203</v>
      </c>
      <c r="D51" s="171"/>
      <c r="E51" s="171"/>
      <c r="F51" s="171"/>
      <c r="G51" s="171"/>
      <c r="H51" s="172"/>
    </row>
    <row r="52" spans="3:8" s="40" customFormat="1" ht="63">
      <c r="C52" s="184" t="s">
        <v>121</v>
      </c>
      <c r="D52" s="185"/>
      <c r="E52" s="185"/>
      <c r="F52" s="186"/>
      <c r="G52" s="41" t="s">
        <v>21</v>
      </c>
      <c r="H52" s="54" t="s">
        <v>126</v>
      </c>
    </row>
    <row r="53" spans="3:8" s="40" customFormat="1" ht="21">
      <c r="C53" s="167" t="s">
        <v>202</v>
      </c>
      <c r="D53" s="168"/>
      <c r="E53" s="168"/>
      <c r="F53" s="169"/>
      <c r="G53" s="57">
        <v>1234.18</v>
      </c>
      <c r="H53" s="57">
        <f>G53</f>
        <v>1234.18</v>
      </c>
    </row>
    <row r="54" spans="3:8" s="40" customFormat="1" ht="21">
      <c r="C54" s="155"/>
      <c r="D54" s="155"/>
      <c r="E54" s="155"/>
      <c r="F54" s="155"/>
      <c r="G54" s="156"/>
      <c r="H54" s="156"/>
    </row>
    <row r="55" spans="3:4" ht="21" customHeight="1">
      <c r="C55" s="35" t="s">
        <v>106</v>
      </c>
      <c r="D55" s="35"/>
    </row>
    <row r="56" spans="3:4" ht="26.25">
      <c r="C56" s="35" t="s">
        <v>107</v>
      </c>
      <c r="D56" s="35"/>
    </row>
    <row r="57" ht="15">
      <c r="G57" s="132">
        <f>G26+G49</f>
        <v>833566.3899999999</v>
      </c>
    </row>
    <row r="58" ht="15">
      <c r="G58" s="37">
        <v>24328.02</v>
      </c>
    </row>
    <row r="59" ht="15">
      <c r="G59" s="37">
        <v>50437.48</v>
      </c>
    </row>
    <row r="60" ht="15">
      <c r="G60" s="37">
        <v>91155.82</v>
      </c>
    </row>
    <row r="61" ht="15">
      <c r="G61" s="132">
        <f>SUM(G57:G60)</f>
        <v>999487.71</v>
      </c>
    </row>
  </sheetData>
  <sheetProtection/>
  <mergeCells count="25">
    <mergeCell ref="C51:H51"/>
    <mergeCell ref="C52:F52"/>
    <mergeCell ref="C53:F53"/>
    <mergeCell ref="C13:H13"/>
    <mergeCell ref="C19:H19"/>
    <mergeCell ref="C43:C46"/>
    <mergeCell ref="D43:D46"/>
    <mergeCell ref="C30:H30"/>
    <mergeCell ref="C32:F32"/>
    <mergeCell ref="C31:F31"/>
    <mergeCell ref="C33:H33"/>
    <mergeCell ref="C34:D34"/>
    <mergeCell ref="E34:G34"/>
    <mergeCell ref="E40:F40"/>
    <mergeCell ref="E41:F41"/>
    <mergeCell ref="E39:F39"/>
    <mergeCell ref="E35:F35"/>
    <mergeCell ref="E36:F36"/>
    <mergeCell ref="E37:F37"/>
    <mergeCell ref="E38:F38"/>
    <mergeCell ref="E46:F46"/>
    <mergeCell ref="E42:F42"/>
    <mergeCell ref="E43:F43"/>
    <mergeCell ref="E44:F44"/>
    <mergeCell ref="E45:F45"/>
  </mergeCells>
  <printOptions horizontalCentered="1"/>
  <pageMargins left="0.2362204724409449" right="0.2362204724409449" top="0.7480314960629921" bottom="0.7480314960629921" header="0.31496062992125984" footer="0.31496062992125984"/>
  <pageSetup fitToHeight="2" horizontalDpi="600" verticalDpi="600" orientation="landscape" paperSize="9" scale="48" r:id="rId2"/>
  <rowBreaks count="1" manualBreakCount="1">
    <brk id="28" min="2" max="8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1:H67"/>
  <sheetViews>
    <sheetView view="pageBreakPreview" zoomScale="73" zoomScaleSheetLayoutView="73" zoomScalePageLayoutView="0" workbookViewId="0" topLeftCell="A16">
      <selection activeCell="G53" sqref="G53"/>
    </sheetView>
  </sheetViews>
  <sheetFormatPr defaultColWidth="9.140625" defaultRowHeight="15"/>
  <cols>
    <col min="1" max="2" width="9.140625" style="37" customWidth="1"/>
    <col min="3" max="3" width="9.00390625" style="37" customWidth="1"/>
    <col min="4" max="4" width="46.00390625" style="37" customWidth="1"/>
    <col min="5" max="5" width="37.8515625" style="37" customWidth="1"/>
    <col min="6" max="6" width="44.421875" style="37" customWidth="1"/>
    <col min="7" max="7" width="34.140625" style="37" customWidth="1"/>
    <col min="8" max="8" width="30.421875" style="37" customWidth="1"/>
    <col min="9" max="16384" width="9.140625" style="37" customWidth="1"/>
  </cols>
  <sheetData>
    <row r="1" spans="4:7" s="35" customFormat="1" ht="28.5">
      <c r="D1" s="36" t="s">
        <v>24</v>
      </c>
      <c r="E1" s="36"/>
      <c r="F1" s="36"/>
      <c r="G1" s="36"/>
    </row>
    <row r="2" spans="4:7" s="35" customFormat="1" ht="28.5">
      <c r="D2" s="36" t="s">
        <v>25</v>
      </c>
      <c r="E2" s="36"/>
      <c r="F2" s="36"/>
      <c r="G2" s="36"/>
    </row>
    <row r="3" spans="4:8" ht="18.75">
      <c r="D3" s="38" t="s">
        <v>26</v>
      </c>
      <c r="E3" s="38"/>
      <c r="F3" s="38"/>
      <c r="G3" s="38"/>
      <c r="H3" s="39"/>
    </row>
    <row r="4" spans="4:8" ht="18.75">
      <c r="D4" s="38" t="s">
        <v>27</v>
      </c>
      <c r="E4" s="38"/>
      <c r="F4" s="38"/>
      <c r="G4" s="38"/>
      <c r="H4" s="39"/>
    </row>
    <row r="5" spans="4:8" ht="15">
      <c r="D5" s="39"/>
      <c r="E5" s="39"/>
      <c r="F5" s="39"/>
      <c r="G5" s="39"/>
      <c r="H5" s="39"/>
    </row>
    <row r="6" spans="4:7" s="40" customFormat="1" ht="26.25">
      <c r="D6" s="35" t="s">
        <v>28</v>
      </c>
      <c r="E6" s="35"/>
      <c r="F6" s="35"/>
      <c r="G6" s="35"/>
    </row>
    <row r="7" spans="4:7" s="40" customFormat="1" ht="26.25">
      <c r="D7" s="35" t="s">
        <v>35</v>
      </c>
      <c r="E7" s="35"/>
      <c r="F7" s="35"/>
      <c r="G7" s="35"/>
    </row>
    <row r="8" spans="4:7" s="40" customFormat="1" ht="26.25">
      <c r="D8" s="35" t="s">
        <v>125</v>
      </c>
      <c r="E8" s="35"/>
      <c r="F8" s="35"/>
      <c r="G8" s="35"/>
    </row>
    <row r="9" spans="4:8" ht="15">
      <c r="D9" s="39"/>
      <c r="E9" s="39"/>
      <c r="F9" s="39"/>
      <c r="G9" s="39"/>
      <c r="H9" s="39"/>
    </row>
    <row r="10" spans="3:8" ht="21">
      <c r="C10" s="40" t="s">
        <v>36</v>
      </c>
      <c r="D10" s="39"/>
      <c r="E10" s="39"/>
      <c r="F10" s="39"/>
      <c r="G10" s="39"/>
      <c r="H10" s="39"/>
    </row>
    <row r="11" s="40" customFormat="1" ht="34.5" customHeight="1">
      <c r="H11" s="53" t="s">
        <v>18</v>
      </c>
    </row>
    <row r="12" spans="3:8" s="42" customFormat="1" ht="40.5">
      <c r="C12" s="41" t="s">
        <v>11</v>
      </c>
      <c r="D12" s="41" t="s">
        <v>12</v>
      </c>
      <c r="E12" s="41" t="s">
        <v>114</v>
      </c>
      <c r="F12" s="41" t="s">
        <v>13</v>
      </c>
      <c r="G12" s="41" t="s">
        <v>14</v>
      </c>
      <c r="H12" s="41" t="s">
        <v>10</v>
      </c>
    </row>
    <row r="13" spans="3:8" s="40" customFormat="1" ht="21">
      <c r="C13" s="181" t="s">
        <v>15</v>
      </c>
      <c r="D13" s="182"/>
      <c r="E13" s="182"/>
      <c r="F13" s="182"/>
      <c r="G13" s="182"/>
      <c r="H13" s="183"/>
    </row>
    <row r="14" spans="3:8" s="40" customFormat="1" ht="21">
      <c r="C14" s="15">
        <v>1</v>
      </c>
      <c r="D14" s="15" t="s">
        <v>16</v>
      </c>
      <c r="E14" s="43">
        <v>66262.07</v>
      </c>
      <c r="F14" s="43">
        <v>372062.19</v>
      </c>
      <c r="G14" s="43">
        <v>307394.58</v>
      </c>
      <c r="H14" s="43">
        <f>E14+F14-G14</f>
        <v>130929.68</v>
      </c>
    </row>
    <row r="15" spans="3:8" s="40" customFormat="1" ht="21">
      <c r="C15" s="15">
        <v>2</v>
      </c>
      <c r="D15" s="15" t="s">
        <v>92</v>
      </c>
      <c r="E15" s="43">
        <v>5100.44</v>
      </c>
      <c r="F15" s="43"/>
      <c r="G15" s="43">
        <v>5897.12</v>
      </c>
      <c r="H15" s="43">
        <f>E15+F15-G15</f>
        <v>-796.6800000000003</v>
      </c>
    </row>
    <row r="16" spans="3:8" s="40" customFormat="1" ht="21">
      <c r="C16" s="15">
        <v>3</v>
      </c>
      <c r="D16" s="15" t="s">
        <v>17</v>
      </c>
      <c r="E16" s="43">
        <v>5715.48</v>
      </c>
      <c r="F16" s="43">
        <v>95149.46</v>
      </c>
      <c r="G16" s="43">
        <v>91124.85</v>
      </c>
      <c r="H16" s="43">
        <f>E16+F16-G16</f>
        <v>9740.089999999997</v>
      </c>
    </row>
    <row r="17" spans="3:8" s="40" customFormat="1" ht="21" hidden="1">
      <c r="C17" s="15"/>
      <c r="D17" s="15" t="s">
        <v>116</v>
      </c>
      <c r="E17" s="43"/>
      <c r="F17" s="43"/>
      <c r="G17" s="43"/>
      <c r="H17" s="43">
        <f>E17+F17-G17</f>
        <v>0</v>
      </c>
    </row>
    <row r="18" spans="3:8" s="40" customFormat="1" ht="35.25" customHeight="1">
      <c r="C18" s="15"/>
      <c r="D18" s="44" t="s">
        <v>0</v>
      </c>
      <c r="E18" s="45">
        <f>SUM(E14:E16)</f>
        <v>77077.99</v>
      </c>
      <c r="F18" s="45">
        <f>SUM(F14:F17)</f>
        <v>467211.65</v>
      </c>
      <c r="G18" s="45">
        <f>SUM(G14:G17)</f>
        <v>404416.55000000005</v>
      </c>
      <c r="H18" s="45">
        <f>SUM(H14:H17)</f>
        <v>139873.09</v>
      </c>
    </row>
    <row r="19" spans="3:8" s="40" customFormat="1" ht="21">
      <c r="C19" s="181" t="s">
        <v>19</v>
      </c>
      <c r="D19" s="182"/>
      <c r="E19" s="182"/>
      <c r="F19" s="182"/>
      <c r="G19" s="182"/>
      <c r="H19" s="183"/>
    </row>
    <row r="20" spans="3:8" s="40" customFormat="1" ht="21">
      <c r="C20" s="15">
        <v>4</v>
      </c>
      <c r="D20" s="15" t="s">
        <v>1</v>
      </c>
      <c r="E20" s="43">
        <v>125146.72</v>
      </c>
      <c r="F20" s="47">
        <v>674424.58</v>
      </c>
      <c r="G20" s="47">
        <v>508082.76</v>
      </c>
      <c r="H20" s="47">
        <f>E20+F20-G20</f>
        <v>291488.5399999999</v>
      </c>
    </row>
    <row r="21" spans="3:8" s="40" customFormat="1" ht="21">
      <c r="C21" s="15">
        <v>5</v>
      </c>
      <c r="D21" s="48" t="s">
        <v>2</v>
      </c>
      <c r="E21" s="49">
        <v>25911.07</v>
      </c>
      <c r="F21" s="47">
        <v>118265.53</v>
      </c>
      <c r="G21" s="47">
        <v>109860.72</v>
      </c>
      <c r="H21" s="47">
        <f>E21+F21-G21</f>
        <v>34315.880000000005</v>
      </c>
    </row>
    <row r="22" spans="3:8" s="40" customFormat="1" ht="21">
      <c r="C22" s="15">
        <v>6</v>
      </c>
      <c r="D22" s="48" t="s">
        <v>7</v>
      </c>
      <c r="E22" s="49">
        <v>66753.56</v>
      </c>
      <c r="F22" s="47">
        <v>236714.56</v>
      </c>
      <c r="G22" s="47">
        <v>167840.25</v>
      </c>
      <c r="H22" s="47">
        <f>E22+F22-G22</f>
        <v>135627.87</v>
      </c>
    </row>
    <row r="23" spans="3:8" s="40" customFormat="1" ht="21">
      <c r="C23" s="15">
        <v>7</v>
      </c>
      <c r="D23" s="48" t="s">
        <v>3</v>
      </c>
      <c r="E23" s="49">
        <v>25609.5</v>
      </c>
      <c r="F23" s="47">
        <v>101201.7</v>
      </c>
      <c r="G23" s="47">
        <v>96046.44</v>
      </c>
      <c r="H23" s="47">
        <f>E23+F23-G23</f>
        <v>30764.759999999995</v>
      </c>
    </row>
    <row r="24" spans="3:8" s="40" customFormat="1" ht="41.25">
      <c r="C24" s="15"/>
      <c r="D24" s="44" t="s">
        <v>5</v>
      </c>
      <c r="E24" s="45">
        <f>SUM(E20:E23)</f>
        <v>243420.85</v>
      </c>
      <c r="F24" s="45">
        <f>SUM(F20:F23)</f>
        <v>1130606.3699999999</v>
      </c>
      <c r="G24" s="45">
        <f>SUM(G20:G23)</f>
        <v>881830.1699999999</v>
      </c>
      <c r="H24" s="45">
        <f>SUM(H20:H23)</f>
        <v>492197.04999999993</v>
      </c>
    </row>
    <row r="25" spans="3:8" s="40" customFormat="1" ht="41.25">
      <c r="C25" s="15"/>
      <c r="D25" s="44" t="s">
        <v>6</v>
      </c>
      <c r="E25" s="45">
        <f>E18+E24</f>
        <v>320498.84</v>
      </c>
      <c r="F25" s="45">
        <f>F18+F24</f>
        <v>1597818.02</v>
      </c>
      <c r="G25" s="45">
        <f>G18+G24</f>
        <v>1286246.72</v>
      </c>
      <c r="H25" s="45">
        <f>H18+H24</f>
        <v>632070.1399999999</v>
      </c>
    </row>
    <row r="26" spans="3:8" s="40" customFormat="1" ht="21">
      <c r="C26" s="50"/>
      <c r="D26" s="51"/>
      <c r="E26" s="51"/>
      <c r="F26" s="52"/>
      <c r="G26" s="52"/>
      <c r="H26" s="52"/>
    </row>
    <row r="27" spans="3:8" s="40" customFormat="1" ht="21">
      <c r="C27" s="50"/>
      <c r="D27" s="51"/>
      <c r="E27" s="51"/>
      <c r="F27" s="52"/>
      <c r="G27" s="52"/>
      <c r="H27" s="52"/>
    </row>
    <row r="28" spans="7:8" s="40" customFormat="1" ht="21">
      <c r="G28" s="53"/>
      <c r="H28" s="53" t="s">
        <v>20</v>
      </c>
    </row>
    <row r="29" spans="3:8" s="40" customFormat="1" ht="25.5">
      <c r="C29" s="170" t="s">
        <v>120</v>
      </c>
      <c r="D29" s="171"/>
      <c r="E29" s="171"/>
      <c r="F29" s="171"/>
      <c r="G29" s="171"/>
      <c r="H29" s="172"/>
    </row>
    <row r="30" spans="3:8" s="40" customFormat="1" ht="63">
      <c r="C30" s="184" t="s">
        <v>121</v>
      </c>
      <c r="D30" s="185"/>
      <c r="E30" s="185"/>
      <c r="F30" s="186"/>
      <c r="G30" s="41" t="s">
        <v>21</v>
      </c>
      <c r="H30" s="54" t="s">
        <v>126</v>
      </c>
    </row>
    <row r="31" spans="3:8" s="40" customFormat="1" ht="181.5" customHeight="1">
      <c r="C31" s="201" t="s">
        <v>123</v>
      </c>
      <c r="D31" s="202"/>
      <c r="E31" s="202"/>
      <c r="F31" s="203"/>
      <c r="G31" s="57">
        <f>F14</f>
        <v>372062.19</v>
      </c>
      <c r="H31" s="57">
        <f>H14</f>
        <v>130929.68</v>
      </c>
    </row>
    <row r="32" spans="3:8" s="40" customFormat="1" ht="25.5">
      <c r="C32" s="170" t="s">
        <v>119</v>
      </c>
      <c r="D32" s="171"/>
      <c r="E32" s="171"/>
      <c r="F32" s="171"/>
      <c r="G32" s="171"/>
      <c r="H32" s="172"/>
    </row>
    <row r="33" spans="3:8" s="55" customFormat="1" ht="63">
      <c r="C33" s="196" t="s">
        <v>132</v>
      </c>
      <c r="D33" s="197"/>
      <c r="E33" s="178" t="s">
        <v>121</v>
      </c>
      <c r="F33" s="179"/>
      <c r="G33" s="180"/>
      <c r="H33" s="89" t="s">
        <v>128</v>
      </c>
    </row>
    <row r="34" spans="3:8" s="40" customFormat="1" ht="21">
      <c r="C34" s="103"/>
      <c r="D34" s="100">
        <v>41589.4</v>
      </c>
      <c r="E34" s="191" t="s">
        <v>156</v>
      </c>
      <c r="F34" s="192"/>
      <c r="G34" s="49">
        <v>112</v>
      </c>
      <c r="H34" s="43"/>
    </row>
    <row r="35" spans="3:8" s="40" customFormat="1" ht="21">
      <c r="C35" s="98"/>
      <c r="D35" s="102"/>
      <c r="E35" s="191" t="s">
        <v>157</v>
      </c>
      <c r="F35" s="192"/>
      <c r="G35" s="49">
        <f>1950+94.4+30.4</f>
        <v>2074.8</v>
      </c>
      <c r="H35" s="43"/>
    </row>
    <row r="36" spans="3:8" s="40" customFormat="1" ht="21">
      <c r="C36" s="98"/>
      <c r="D36" s="102"/>
      <c r="E36" s="191" t="s">
        <v>158</v>
      </c>
      <c r="F36" s="192"/>
      <c r="G36" s="49">
        <f>216+224+108+165</f>
        <v>713</v>
      </c>
      <c r="H36" s="43"/>
    </row>
    <row r="37" spans="3:8" s="40" customFormat="1" ht="21">
      <c r="C37" s="98"/>
      <c r="D37" s="102"/>
      <c r="E37" s="191" t="s">
        <v>159</v>
      </c>
      <c r="F37" s="192"/>
      <c r="G37" s="49">
        <f>270+336+18.4</f>
        <v>624.4</v>
      </c>
      <c r="H37" s="43"/>
    </row>
    <row r="38" spans="3:8" s="40" customFormat="1" ht="21">
      <c r="C38" s="98"/>
      <c r="D38" s="102"/>
      <c r="E38" s="191" t="s">
        <v>160</v>
      </c>
      <c r="F38" s="192"/>
      <c r="G38" s="49">
        <f>270+108+448</f>
        <v>826</v>
      </c>
      <c r="H38" s="43"/>
    </row>
    <row r="39" spans="3:8" s="40" customFormat="1" ht="21">
      <c r="C39" s="98"/>
      <c r="D39" s="102"/>
      <c r="E39" s="191" t="s">
        <v>104</v>
      </c>
      <c r="F39" s="192"/>
      <c r="G39" s="49">
        <v>500</v>
      </c>
      <c r="H39" s="43"/>
    </row>
    <row r="40" spans="3:8" s="40" customFormat="1" ht="21">
      <c r="C40" s="98"/>
      <c r="D40" s="102"/>
      <c r="E40" s="191" t="s">
        <v>158</v>
      </c>
      <c r="F40" s="192"/>
      <c r="G40" s="49">
        <f>3012.51+2300.4+280</f>
        <v>5592.91</v>
      </c>
      <c r="H40" s="43"/>
    </row>
    <row r="41" spans="3:8" s="40" customFormat="1" ht="21">
      <c r="C41" s="98"/>
      <c r="D41" s="102"/>
      <c r="E41" s="191" t="s">
        <v>161</v>
      </c>
      <c r="F41" s="192"/>
      <c r="G41" s="49">
        <v>485</v>
      </c>
      <c r="H41" s="43"/>
    </row>
    <row r="42" spans="3:8" s="40" customFormat="1" ht="21">
      <c r="C42" s="98"/>
      <c r="D42" s="102"/>
      <c r="E42" s="191" t="s">
        <v>91</v>
      </c>
      <c r="F42" s="192"/>
      <c r="G42" s="49">
        <f>96+39+25</f>
        <v>160</v>
      </c>
      <c r="H42" s="43"/>
    </row>
    <row r="43" spans="3:8" s="40" customFormat="1" ht="21">
      <c r="C43" s="98"/>
      <c r="D43" s="102"/>
      <c r="E43" s="191"/>
      <c r="F43" s="192"/>
      <c r="G43" s="49"/>
      <c r="H43" s="43"/>
    </row>
    <row r="44" spans="3:8" s="40" customFormat="1" ht="21">
      <c r="C44" s="98"/>
      <c r="D44" s="98"/>
      <c r="E44" s="205" t="s">
        <v>140</v>
      </c>
      <c r="F44" s="206"/>
      <c r="G44" s="68">
        <f>SUM(G34:G43)</f>
        <v>11088.11</v>
      </c>
      <c r="H44" s="68">
        <f>G16-G44</f>
        <v>80036.74</v>
      </c>
    </row>
    <row r="45" spans="3:8" s="40" customFormat="1" ht="21">
      <c r="C45" s="99"/>
      <c r="D45" s="99"/>
      <c r="E45" s="188" t="s">
        <v>141</v>
      </c>
      <c r="F45" s="160"/>
      <c r="G45" s="68"/>
      <c r="H45" s="68">
        <f>D34+H44</f>
        <v>121626.14000000001</v>
      </c>
    </row>
    <row r="46" spans="3:8" s="40" customFormat="1" ht="21">
      <c r="C46" s="96">
        <v>3</v>
      </c>
      <c r="D46" s="94" t="s">
        <v>22</v>
      </c>
      <c r="E46" s="207"/>
      <c r="F46" s="207"/>
      <c r="G46" s="70"/>
      <c r="H46" s="43"/>
    </row>
    <row r="47" spans="3:8" s="40" customFormat="1" ht="21">
      <c r="C47" s="174"/>
      <c r="D47" s="174"/>
      <c r="E47" s="204"/>
      <c r="F47" s="204"/>
      <c r="G47" s="70"/>
      <c r="H47" s="43"/>
    </row>
    <row r="48" spans="3:8" s="40" customFormat="1" ht="21">
      <c r="C48" s="175"/>
      <c r="D48" s="175"/>
      <c r="E48" s="204"/>
      <c r="F48" s="204"/>
      <c r="G48" s="70"/>
      <c r="H48" s="43"/>
    </row>
    <row r="49" spans="3:8" s="66" customFormat="1" ht="21">
      <c r="C49" s="40"/>
      <c r="G49" s="72"/>
      <c r="H49" s="72"/>
    </row>
    <row r="50" spans="3:8" s="66" customFormat="1" ht="25.5">
      <c r="C50" s="170" t="s">
        <v>203</v>
      </c>
      <c r="D50" s="171"/>
      <c r="E50" s="171"/>
      <c r="F50" s="171"/>
      <c r="G50" s="171"/>
      <c r="H50" s="172"/>
    </row>
    <row r="51" spans="3:8" s="66" customFormat="1" ht="63">
      <c r="C51" s="184" t="s">
        <v>121</v>
      </c>
      <c r="D51" s="185"/>
      <c r="E51" s="185"/>
      <c r="F51" s="186"/>
      <c r="G51" s="41" t="s">
        <v>21</v>
      </c>
      <c r="H51" s="54" t="s">
        <v>126</v>
      </c>
    </row>
    <row r="52" spans="3:8" s="66" customFormat="1" ht="21">
      <c r="C52" s="167" t="s">
        <v>202</v>
      </c>
      <c r="D52" s="168"/>
      <c r="E52" s="168"/>
      <c r="F52" s="169"/>
      <c r="G52" s="57">
        <v>3009.86</v>
      </c>
      <c r="H52" s="57">
        <f>G52</f>
        <v>3009.86</v>
      </c>
    </row>
    <row r="53" spans="3:8" s="66" customFormat="1" ht="21">
      <c r="C53" s="40"/>
      <c r="G53" s="72"/>
      <c r="H53" s="72"/>
    </row>
    <row r="54" spans="3:8" s="64" customFormat="1" ht="26.25">
      <c r="C54" s="35" t="s">
        <v>106</v>
      </c>
      <c r="D54" s="35"/>
      <c r="E54" s="37"/>
      <c r="F54" s="37"/>
      <c r="G54" s="73"/>
      <c r="H54" s="73"/>
    </row>
    <row r="55" spans="3:8" ht="26.25">
      <c r="C55" s="35" t="s">
        <v>107</v>
      </c>
      <c r="D55" s="35"/>
      <c r="G55" s="74"/>
      <c r="H55" s="74"/>
    </row>
    <row r="56" spans="7:8" ht="15">
      <c r="G56" s="74">
        <f>G25</f>
        <v>1286246.72</v>
      </c>
      <c r="H56" s="74"/>
    </row>
    <row r="57" spans="7:8" ht="15">
      <c r="G57" s="74">
        <v>62420.86</v>
      </c>
      <c r="H57" s="74"/>
    </row>
    <row r="58" spans="7:8" ht="15">
      <c r="G58" s="74">
        <v>129907.97</v>
      </c>
      <c r="H58" s="74"/>
    </row>
    <row r="59" spans="7:8" ht="15">
      <c r="G59" s="74">
        <v>189527.63</v>
      </c>
      <c r="H59" s="74"/>
    </row>
    <row r="60" spans="7:8" ht="15">
      <c r="G60" s="74">
        <v>500.57</v>
      </c>
      <c r="H60" s="74"/>
    </row>
    <row r="61" spans="7:8" ht="15">
      <c r="G61" s="74">
        <f>SUM(G56:G60)</f>
        <v>1668603.7500000002</v>
      </c>
      <c r="H61" s="74"/>
    </row>
    <row r="62" spans="7:8" ht="15">
      <c r="G62" s="74"/>
      <c r="H62" s="74"/>
    </row>
    <row r="63" spans="7:8" ht="15">
      <c r="G63" s="74"/>
      <c r="H63" s="74"/>
    </row>
    <row r="64" spans="7:8" ht="15">
      <c r="G64" s="74"/>
      <c r="H64" s="74"/>
    </row>
    <row r="65" spans="7:8" ht="15">
      <c r="G65" s="74"/>
      <c r="H65" s="74"/>
    </row>
    <row r="66" spans="7:8" ht="15">
      <c r="G66" s="74"/>
      <c r="H66" s="74"/>
    </row>
    <row r="67" spans="7:8" ht="15">
      <c r="G67" s="74"/>
      <c r="H67" s="74"/>
    </row>
  </sheetData>
  <sheetProtection/>
  <mergeCells count="28">
    <mergeCell ref="C50:H50"/>
    <mergeCell ref="C51:F51"/>
    <mergeCell ref="C52:F52"/>
    <mergeCell ref="C13:H13"/>
    <mergeCell ref="C19:H19"/>
    <mergeCell ref="C47:C48"/>
    <mergeCell ref="D47:D48"/>
    <mergeCell ref="E34:F34"/>
    <mergeCell ref="C29:H29"/>
    <mergeCell ref="C30:F30"/>
    <mergeCell ref="C31:F31"/>
    <mergeCell ref="C32:H32"/>
    <mergeCell ref="C33:D33"/>
    <mergeCell ref="E33:G33"/>
    <mergeCell ref="E35:F35"/>
    <mergeCell ref="E36:F36"/>
    <mergeCell ref="E37:F37"/>
    <mergeCell ref="E38:F38"/>
    <mergeCell ref="E39:F39"/>
    <mergeCell ref="E40:F40"/>
    <mergeCell ref="E41:F41"/>
    <mergeCell ref="E46:F46"/>
    <mergeCell ref="E47:F47"/>
    <mergeCell ref="E48:F48"/>
    <mergeCell ref="E42:F42"/>
    <mergeCell ref="E44:F44"/>
    <mergeCell ref="E45:F45"/>
    <mergeCell ref="E43:F43"/>
  </mergeCells>
  <printOptions/>
  <pageMargins left="0.25" right="0.25" top="0.75" bottom="0.75" header="0.3" footer="0.3"/>
  <pageSetup horizontalDpi="600" verticalDpi="600" orientation="landscape" paperSize="9" scale="53" r:id="rId2"/>
  <rowBreaks count="1" manualBreakCount="1">
    <brk id="31" min="2" max="7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1:H51"/>
  <sheetViews>
    <sheetView view="pageBreakPreview" zoomScale="73" zoomScaleSheetLayoutView="73" zoomScalePageLayoutView="0" workbookViewId="0" topLeftCell="A22">
      <selection activeCell="G52" sqref="G52"/>
    </sheetView>
  </sheetViews>
  <sheetFormatPr defaultColWidth="9.140625" defaultRowHeight="15"/>
  <cols>
    <col min="1" max="2" width="9.140625" style="37" customWidth="1"/>
    <col min="3" max="3" width="9.00390625" style="37" customWidth="1"/>
    <col min="4" max="5" width="37.8515625" style="37" customWidth="1"/>
    <col min="6" max="6" width="44.421875" style="37" customWidth="1"/>
    <col min="7" max="7" width="34.140625" style="37" customWidth="1"/>
    <col min="8" max="8" width="30.57421875" style="37" customWidth="1"/>
    <col min="9" max="16384" width="9.140625" style="37" customWidth="1"/>
  </cols>
  <sheetData>
    <row r="1" spans="4:7" s="35" customFormat="1" ht="28.5">
      <c r="D1" s="36" t="s">
        <v>24</v>
      </c>
      <c r="E1" s="36"/>
      <c r="F1" s="36"/>
      <c r="G1" s="36"/>
    </row>
    <row r="2" spans="4:7" s="35" customFormat="1" ht="28.5">
      <c r="D2" s="36" t="s">
        <v>25</v>
      </c>
      <c r="E2" s="36"/>
      <c r="F2" s="36"/>
      <c r="G2" s="36"/>
    </row>
    <row r="3" spans="4:8" ht="18.75">
      <c r="D3" s="38" t="s">
        <v>26</v>
      </c>
      <c r="E3" s="38"/>
      <c r="F3" s="38"/>
      <c r="G3" s="38"/>
      <c r="H3" s="39"/>
    </row>
    <row r="4" spans="4:8" ht="18.75">
      <c r="D4" s="38" t="s">
        <v>27</v>
      </c>
      <c r="E4" s="38"/>
      <c r="F4" s="38"/>
      <c r="G4" s="38"/>
      <c r="H4" s="39"/>
    </row>
    <row r="5" spans="4:8" ht="15">
      <c r="D5" s="39"/>
      <c r="E5" s="39"/>
      <c r="F5" s="39"/>
      <c r="G5" s="39"/>
      <c r="H5" s="39"/>
    </row>
    <row r="6" spans="4:7" s="40" customFormat="1" ht="26.25">
      <c r="D6" s="35" t="s">
        <v>28</v>
      </c>
      <c r="E6" s="35"/>
      <c r="F6" s="35"/>
      <c r="G6" s="35"/>
    </row>
    <row r="7" spans="4:7" s="40" customFormat="1" ht="26.25">
      <c r="D7" s="35" t="s">
        <v>37</v>
      </c>
      <c r="E7" s="35"/>
      <c r="F7" s="35"/>
      <c r="G7" s="35"/>
    </row>
    <row r="8" spans="4:7" s="40" customFormat="1" ht="26.25">
      <c r="D8" s="35" t="s">
        <v>125</v>
      </c>
      <c r="E8" s="35"/>
      <c r="F8" s="35"/>
      <c r="G8" s="35"/>
    </row>
    <row r="9" spans="4:8" ht="15">
      <c r="D9" s="39"/>
      <c r="E9" s="39"/>
      <c r="F9" s="39"/>
      <c r="G9" s="39"/>
      <c r="H9" s="39"/>
    </row>
    <row r="10" spans="3:8" ht="21">
      <c r="C10" s="40" t="s">
        <v>38</v>
      </c>
      <c r="D10" s="39"/>
      <c r="E10" s="39"/>
      <c r="F10" s="39"/>
      <c r="G10" s="39"/>
      <c r="H10" s="39"/>
    </row>
    <row r="11" s="40" customFormat="1" ht="34.5" customHeight="1">
      <c r="H11" s="53" t="s">
        <v>18</v>
      </c>
    </row>
    <row r="12" spans="3:8" s="42" customFormat="1" ht="40.5">
      <c r="C12" s="41" t="s">
        <v>11</v>
      </c>
      <c r="D12" s="41" t="s">
        <v>12</v>
      </c>
      <c r="E12" s="41" t="s">
        <v>114</v>
      </c>
      <c r="F12" s="41" t="s">
        <v>13</v>
      </c>
      <c r="G12" s="41" t="s">
        <v>14</v>
      </c>
      <c r="H12" s="41" t="s">
        <v>10</v>
      </c>
    </row>
    <row r="13" spans="3:8" s="40" customFormat="1" ht="21">
      <c r="C13" s="181" t="s">
        <v>15</v>
      </c>
      <c r="D13" s="182"/>
      <c r="E13" s="182"/>
      <c r="F13" s="182"/>
      <c r="G13" s="182"/>
      <c r="H13" s="183"/>
    </row>
    <row r="14" spans="3:8" s="40" customFormat="1" ht="21">
      <c r="C14" s="15">
        <v>1</v>
      </c>
      <c r="D14" s="15" t="s">
        <v>16</v>
      </c>
      <c r="E14" s="43">
        <v>9099.09</v>
      </c>
      <c r="F14" s="43">
        <v>64622.27</v>
      </c>
      <c r="G14" s="43">
        <v>39871.61</v>
      </c>
      <c r="H14" s="43">
        <f>E14+F14-G14</f>
        <v>33849.75</v>
      </c>
    </row>
    <row r="15" spans="3:8" s="40" customFormat="1" ht="21">
      <c r="C15" s="15">
        <v>2</v>
      </c>
      <c r="D15" s="15" t="s">
        <v>17</v>
      </c>
      <c r="E15" s="43">
        <v>2633.81</v>
      </c>
      <c r="F15" s="43">
        <v>13086.84</v>
      </c>
      <c r="G15" s="43">
        <v>11193.11</v>
      </c>
      <c r="H15" s="43">
        <f>E15+F15-G15</f>
        <v>4527.539999999999</v>
      </c>
    </row>
    <row r="16" spans="3:8" s="40" customFormat="1" ht="42">
      <c r="C16" s="15">
        <v>3</v>
      </c>
      <c r="D16" s="67" t="s">
        <v>87</v>
      </c>
      <c r="E16" s="43">
        <v>910.06</v>
      </c>
      <c r="F16" s="43">
        <v>4800</v>
      </c>
      <c r="G16" s="43">
        <v>4115.13</v>
      </c>
      <c r="H16" s="43">
        <f>E16+F16-G16</f>
        <v>1594.9299999999994</v>
      </c>
    </row>
    <row r="17" spans="3:8" s="40" customFormat="1" ht="41.25">
      <c r="C17" s="15"/>
      <c r="D17" s="44" t="s">
        <v>0</v>
      </c>
      <c r="E17" s="45">
        <f>SUM(E14:E16)</f>
        <v>12642.96</v>
      </c>
      <c r="F17" s="45">
        <f>SUM(F14:F16)</f>
        <v>82509.11</v>
      </c>
      <c r="G17" s="45">
        <f>SUM(G14:G16)</f>
        <v>55179.85</v>
      </c>
      <c r="H17" s="45">
        <f>SUM(H14:H16)</f>
        <v>39972.22</v>
      </c>
    </row>
    <row r="18" spans="3:8" s="40" customFormat="1" ht="21">
      <c r="C18" s="181" t="s">
        <v>19</v>
      </c>
      <c r="D18" s="182"/>
      <c r="E18" s="182"/>
      <c r="F18" s="182"/>
      <c r="G18" s="182"/>
      <c r="H18" s="183"/>
    </row>
    <row r="19" spans="3:8" s="40" customFormat="1" ht="21">
      <c r="C19" s="15">
        <v>4</v>
      </c>
      <c r="D19" s="15" t="s">
        <v>1</v>
      </c>
      <c r="E19" s="43">
        <v>7288.74</v>
      </c>
      <c r="F19" s="47">
        <v>151103.23</v>
      </c>
      <c r="G19" s="47">
        <v>117262.11</v>
      </c>
      <c r="H19" s="47">
        <f>E19+F19-G19</f>
        <v>41129.86</v>
      </c>
    </row>
    <row r="20" spans="3:8" s="40" customFormat="1" ht="21">
      <c r="C20" s="15">
        <v>5</v>
      </c>
      <c r="D20" s="48" t="s">
        <v>2</v>
      </c>
      <c r="E20" s="49">
        <v>8316.29</v>
      </c>
      <c r="F20" s="47">
        <v>31351.9</v>
      </c>
      <c r="G20" s="47">
        <v>23444.65</v>
      </c>
      <c r="H20" s="47">
        <f>E20+F20-G20</f>
        <v>16223.54</v>
      </c>
    </row>
    <row r="21" spans="3:8" s="40" customFormat="1" ht="21" hidden="1">
      <c r="C21" s="15"/>
      <c r="D21" s="48" t="s">
        <v>7</v>
      </c>
      <c r="E21" s="49"/>
      <c r="F21" s="47"/>
      <c r="G21" s="47"/>
      <c r="H21" s="47">
        <f>E21+F21-G21</f>
        <v>0</v>
      </c>
    </row>
    <row r="22" spans="3:8" s="40" customFormat="1" ht="21">
      <c r="C22" s="15">
        <v>6</v>
      </c>
      <c r="D22" s="48" t="s">
        <v>3</v>
      </c>
      <c r="E22" s="49">
        <v>5174.07</v>
      </c>
      <c r="F22" s="47">
        <v>18849.48</v>
      </c>
      <c r="G22" s="47">
        <v>14234.14</v>
      </c>
      <c r="H22" s="47">
        <f>E22+F22-G22</f>
        <v>9789.41</v>
      </c>
    </row>
    <row r="23" spans="3:8" s="40" customFormat="1" ht="41.25" hidden="1">
      <c r="C23" s="15">
        <v>7</v>
      </c>
      <c r="D23" s="48" t="s">
        <v>4</v>
      </c>
      <c r="E23" s="49"/>
      <c r="F23" s="47"/>
      <c r="G23" s="47"/>
      <c r="H23" s="47">
        <f>F23-G23</f>
        <v>0</v>
      </c>
    </row>
    <row r="24" spans="3:8" s="40" customFormat="1" ht="41.25">
      <c r="C24" s="15"/>
      <c r="D24" s="44" t="s">
        <v>5</v>
      </c>
      <c r="E24" s="45">
        <f>SUM(E19:E23)</f>
        <v>20779.1</v>
      </c>
      <c r="F24" s="45">
        <f>SUM(F19:F23)</f>
        <v>201304.61000000002</v>
      </c>
      <c r="G24" s="45">
        <f>SUM(G19:G23)</f>
        <v>154940.90000000002</v>
      </c>
      <c r="H24" s="45">
        <f>SUM(H19:H23)</f>
        <v>67142.81</v>
      </c>
    </row>
    <row r="25" spans="3:8" s="40" customFormat="1" ht="41.25">
      <c r="C25" s="15"/>
      <c r="D25" s="44" t="s">
        <v>6</v>
      </c>
      <c r="E25" s="45">
        <f>E17+E24</f>
        <v>33422.06</v>
      </c>
      <c r="F25" s="45">
        <f>F17+F24</f>
        <v>283813.72000000003</v>
      </c>
      <c r="G25" s="45">
        <f>G17+G24</f>
        <v>210120.75000000003</v>
      </c>
      <c r="H25" s="45">
        <f>H17+H24</f>
        <v>107115.03</v>
      </c>
    </row>
    <row r="26" spans="3:8" s="40" customFormat="1" ht="21">
      <c r="C26" s="50"/>
      <c r="D26" s="51"/>
      <c r="E26" s="51"/>
      <c r="F26" s="52"/>
      <c r="G26" s="52"/>
      <c r="H26" s="52"/>
    </row>
    <row r="27" spans="3:8" s="40" customFormat="1" ht="21">
      <c r="C27" s="50"/>
      <c r="D27" s="51"/>
      <c r="E27" s="51"/>
      <c r="F27" s="52"/>
      <c r="G27" s="52"/>
      <c r="H27" s="52"/>
    </row>
    <row r="28" spans="3:8" s="40" customFormat="1" ht="21">
      <c r="C28" s="50"/>
      <c r="D28" s="51"/>
      <c r="E28" s="51"/>
      <c r="F28" s="52"/>
      <c r="G28" s="52"/>
      <c r="H28" s="52"/>
    </row>
    <row r="29" spans="3:8" s="40" customFormat="1" ht="21">
      <c r="C29" s="50"/>
      <c r="D29" s="51"/>
      <c r="E29" s="51"/>
      <c r="F29" s="52"/>
      <c r="G29" s="52"/>
      <c r="H29" s="52"/>
    </row>
    <row r="30" spans="3:8" s="40" customFormat="1" ht="21">
      <c r="C30" s="50"/>
      <c r="D30" s="51"/>
      <c r="E30" s="51"/>
      <c r="F30" s="52"/>
      <c r="G30" s="52"/>
      <c r="H30" s="53" t="s">
        <v>20</v>
      </c>
    </row>
    <row r="31" spans="3:8" s="40" customFormat="1" ht="25.5">
      <c r="C31" s="170" t="s">
        <v>120</v>
      </c>
      <c r="D31" s="171"/>
      <c r="E31" s="171"/>
      <c r="F31" s="171"/>
      <c r="G31" s="171"/>
      <c r="H31" s="172"/>
    </row>
    <row r="32" spans="3:8" s="40" customFormat="1" ht="63">
      <c r="C32" s="184" t="s">
        <v>121</v>
      </c>
      <c r="D32" s="185"/>
      <c r="E32" s="185"/>
      <c r="F32" s="186"/>
      <c r="G32" s="41" t="s">
        <v>21</v>
      </c>
      <c r="H32" s="54" t="s">
        <v>126</v>
      </c>
    </row>
    <row r="33" spans="3:8" s="40" customFormat="1" ht="194.25" customHeight="1">
      <c r="C33" s="201" t="s">
        <v>123</v>
      </c>
      <c r="D33" s="202"/>
      <c r="E33" s="202"/>
      <c r="F33" s="203"/>
      <c r="G33" s="57">
        <f>F14</f>
        <v>64622.27</v>
      </c>
      <c r="H33" s="57">
        <f>H14</f>
        <v>33849.75</v>
      </c>
    </row>
    <row r="34" spans="3:8" s="40" customFormat="1" ht="25.5">
      <c r="C34" s="170" t="s">
        <v>119</v>
      </c>
      <c r="D34" s="171"/>
      <c r="E34" s="171"/>
      <c r="F34" s="171"/>
      <c r="G34" s="171"/>
      <c r="H34" s="172"/>
    </row>
    <row r="35" spans="3:8" s="40" customFormat="1" ht="63">
      <c r="C35" s="196" t="s">
        <v>132</v>
      </c>
      <c r="D35" s="197"/>
      <c r="E35" s="178" t="s">
        <v>121</v>
      </c>
      <c r="F35" s="179"/>
      <c r="G35" s="180"/>
      <c r="H35" s="89" t="s">
        <v>128</v>
      </c>
    </row>
    <row r="36" spans="3:8" s="40" customFormat="1" ht="21">
      <c r="C36" s="103"/>
      <c r="D36" s="104">
        <v>14411.83</v>
      </c>
      <c r="E36" s="165"/>
      <c r="F36" s="165"/>
      <c r="G36" s="59"/>
      <c r="H36" s="57"/>
    </row>
    <row r="37" spans="3:8" s="40" customFormat="1" ht="21">
      <c r="C37" s="98"/>
      <c r="D37" s="105"/>
      <c r="E37" s="165"/>
      <c r="F37" s="165"/>
      <c r="G37" s="59"/>
      <c r="H37" s="57"/>
    </row>
    <row r="38" spans="3:8" s="40" customFormat="1" ht="21">
      <c r="C38" s="98"/>
      <c r="D38" s="105"/>
      <c r="E38" s="165"/>
      <c r="F38" s="165"/>
      <c r="G38" s="59"/>
      <c r="H38" s="57"/>
    </row>
    <row r="39" spans="3:8" s="40" customFormat="1" ht="21">
      <c r="C39" s="98"/>
      <c r="D39" s="106"/>
      <c r="E39" s="208" t="s">
        <v>140</v>
      </c>
      <c r="F39" s="206"/>
      <c r="G39" s="62">
        <f>SUM(G36:G38)</f>
        <v>0</v>
      </c>
      <c r="H39" s="62">
        <f>G15-G39</f>
        <v>11193.11</v>
      </c>
    </row>
    <row r="40" spans="3:8" s="40" customFormat="1" ht="21">
      <c r="C40" s="99"/>
      <c r="D40" s="107"/>
      <c r="E40" s="213" t="s">
        <v>141</v>
      </c>
      <c r="F40" s="160"/>
      <c r="G40" s="62"/>
      <c r="H40" s="62">
        <f>D36+H39</f>
        <v>25604.940000000002</v>
      </c>
    </row>
    <row r="41" spans="3:8" s="40" customFormat="1" ht="21">
      <c r="C41" s="96">
        <v>3</v>
      </c>
      <c r="D41" s="94" t="s">
        <v>22</v>
      </c>
      <c r="E41" s="211"/>
      <c r="F41" s="212"/>
      <c r="G41" s="58"/>
      <c r="H41" s="15"/>
    </row>
    <row r="42" spans="3:8" s="40" customFormat="1" ht="21">
      <c r="C42" s="96"/>
      <c r="D42" s="94"/>
      <c r="E42" s="211"/>
      <c r="F42" s="212"/>
      <c r="G42" s="58"/>
      <c r="H42" s="15"/>
    </row>
    <row r="43" spans="3:8" s="40" customFormat="1" ht="21">
      <c r="C43" s="75"/>
      <c r="D43" s="75"/>
      <c r="E43" s="209"/>
      <c r="F43" s="210"/>
      <c r="G43" s="58"/>
      <c r="H43" s="15"/>
    </row>
    <row r="44" s="66" customFormat="1" ht="21">
      <c r="C44" s="40"/>
    </row>
    <row r="45" spans="3:6" s="64" customFormat="1" ht="26.25">
      <c r="C45" s="35" t="s">
        <v>106</v>
      </c>
      <c r="D45" s="35"/>
      <c r="E45" s="37"/>
      <c r="F45" s="37"/>
    </row>
    <row r="46" spans="3:4" ht="26.25">
      <c r="C46" s="35" t="s">
        <v>107</v>
      </c>
      <c r="D46" s="35"/>
    </row>
    <row r="48" ht="15">
      <c r="G48" s="129">
        <f>G25</f>
        <v>210120.75000000003</v>
      </c>
    </row>
    <row r="49" ht="15">
      <c r="G49" s="37">
        <v>12062.18</v>
      </c>
    </row>
    <row r="50" ht="15">
      <c r="G50" s="37">
        <v>14619.37</v>
      </c>
    </row>
    <row r="51" ht="15">
      <c r="G51" s="129">
        <f>SUM(G48:G50)</f>
        <v>236802.30000000002</v>
      </c>
    </row>
  </sheetData>
  <sheetProtection/>
  <mergeCells count="16">
    <mergeCell ref="C13:H13"/>
    <mergeCell ref="C18:H18"/>
    <mergeCell ref="E38:F38"/>
    <mergeCell ref="C31:H31"/>
    <mergeCell ref="C32:F32"/>
    <mergeCell ref="C33:F33"/>
    <mergeCell ref="C34:H34"/>
    <mergeCell ref="C35:D35"/>
    <mergeCell ref="E35:G35"/>
    <mergeCell ref="E36:F36"/>
    <mergeCell ref="E37:F37"/>
    <mergeCell ref="E39:F39"/>
    <mergeCell ref="E43:F43"/>
    <mergeCell ref="E42:F42"/>
    <mergeCell ref="E41:F41"/>
    <mergeCell ref="E40:F40"/>
  </mergeCells>
  <printOptions/>
  <pageMargins left="0.25" right="0.25" top="0.75" bottom="0.75" header="0.3" footer="0.3"/>
  <pageSetup horizontalDpi="600" verticalDpi="600" orientation="landscape" paperSize="9" scale="50" r:id="rId2"/>
  <rowBreaks count="1" manualBreakCount="1">
    <brk id="33" min="2" max="7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1:H50"/>
  <sheetViews>
    <sheetView view="pageBreakPreview" zoomScale="73" zoomScaleSheetLayoutView="73" zoomScalePageLayoutView="0" workbookViewId="0" topLeftCell="B25">
      <selection activeCell="H38" sqref="H38"/>
    </sheetView>
  </sheetViews>
  <sheetFormatPr defaultColWidth="9.140625" defaultRowHeight="15"/>
  <cols>
    <col min="1" max="2" width="9.140625" style="37" customWidth="1"/>
    <col min="3" max="3" width="9.00390625" style="37" customWidth="1"/>
    <col min="4" max="5" width="37.8515625" style="37" customWidth="1"/>
    <col min="6" max="6" width="44.421875" style="37" customWidth="1"/>
    <col min="7" max="7" width="34.140625" style="37" customWidth="1"/>
    <col min="8" max="8" width="30.140625" style="37" customWidth="1"/>
    <col min="9" max="16384" width="9.140625" style="37" customWidth="1"/>
  </cols>
  <sheetData>
    <row r="1" spans="4:7" s="35" customFormat="1" ht="28.5">
      <c r="D1" s="36" t="s">
        <v>24</v>
      </c>
      <c r="E1" s="36"/>
      <c r="F1" s="36"/>
      <c r="G1" s="36"/>
    </row>
    <row r="2" spans="4:7" s="35" customFormat="1" ht="28.5">
      <c r="D2" s="36" t="s">
        <v>25</v>
      </c>
      <c r="E2" s="36"/>
      <c r="F2" s="36"/>
      <c r="G2" s="36"/>
    </row>
    <row r="3" spans="4:8" ht="18.75">
      <c r="D3" s="38" t="s">
        <v>26</v>
      </c>
      <c r="E3" s="38"/>
      <c r="F3" s="38"/>
      <c r="G3" s="38"/>
      <c r="H3" s="39"/>
    </row>
    <row r="4" spans="4:8" ht="18.75">
      <c r="D4" s="38" t="s">
        <v>27</v>
      </c>
      <c r="E4" s="38"/>
      <c r="F4" s="38"/>
      <c r="G4" s="38"/>
      <c r="H4" s="39"/>
    </row>
    <row r="5" spans="4:8" ht="15">
      <c r="D5" s="39"/>
      <c r="E5" s="39"/>
      <c r="F5" s="39"/>
      <c r="G5" s="39"/>
      <c r="H5" s="39"/>
    </row>
    <row r="6" spans="4:7" s="40" customFormat="1" ht="26.25">
      <c r="D6" s="35" t="s">
        <v>28</v>
      </c>
      <c r="E6" s="35"/>
      <c r="F6" s="35"/>
      <c r="G6" s="35"/>
    </row>
    <row r="7" spans="4:7" s="40" customFormat="1" ht="26.25">
      <c r="D7" s="35" t="s">
        <v>39</v>
      </c>
      <c r="E7" s="35"/>
      <c r="F7" s="35"/>
      <c r="G7" s="35"/>
    </row>
    <row r="8" spans="4:7" s="40" customFormat="1" ht="26.25">
      <c r="D8" s="35" t="s">
        <v>162</v>
      </c>
      <c r="E8" s="35"/>
      <c r="F8" s="35"/>
      <c r="G8" s="35"/>
    </row>
    <row r="9" spans="4:8" ht="15">
      <c r="D9" s="39"/>
      <c r="E9" s="39"/>
      <c r="F9" s="39"/>
      <c r="G9" s="39"/>
      <c r="H9" s="39"/>
    </row>
    <row r="10" spans="3:8" ht="21">
      <c r="C10" s="40" t="s">
        <v>40</v>
      </c>
      <c r="D10" s="39"/>
      <c r="E10" s="39"/>
      <c r="F10" s="39"/>
      <c r="G10" s="39"/>
      <c r="H10" s="39"/>
    </row>
    <row r="11" s="40" customFormat="1" ht="34.5" customHeight="1">
      <c r="H11" s="53" t="s">
        <v>18</v>
      </c>
    </row>
    <row r="12" spans="3:8" s="42" customFormat="1" ht="40.5">
      <c r="C12" s="41" t="s">
        <v>11</v>
      </c>
      <c r="D12" s="41" t="s">
        <v>12</v>
      </c>
      <c r="E12" s="41" t="s">
        <v>114</v>
      </c>
      <c r="F12" s="41" t="s">
        <v>13</v>
      </c>
      <c r="G12" s="41" t="s">
        <v>14</v>
      </c>
      <c r="H12" s="41" t="s">
        <v>10</v>
      </c>
    </row>
    <row r="13" spans="3:8" s="40" customFormat="1" ht="21">
      <c r="C13" s="181" t="s">
        <v>15</v>
      </c>
      <c r="D13" s="182"/>
      <c r="E13" s="182"/>
      <c r="F13" s="182"/>
      <c r="G13" s="182"/>
      <c r="H13" s="183"/>
    </row>
    <row r="14" spans="3:8" s="40" customFormat="1" ht="21">
      <c r="C14" s="15">
        <v>1</v>
      </c>
      <c r="D14" s="15" t="s">
        <v>16</v>
      </c>
      <c r="E14" s="43">
        <v>4043.41</v>
      </c>
      <c r="F14" s="43">
        <v>47040.81</v>
      </c>
      <c r="G14" s="43">
        <v>37899.36</v>
      </c>
      <c r="H14" s="43">
        <f>E14+F14-G14</f>
        <v>13184.86</v>
      </c>
    </row>
    <row r="15" spans="3:8" s="40" customFormat="1" ht="21">
      <c r="C15" s="15">
        <v>2</v>
      </c>
      <c r="D15" s="15" t="s">
        <v>17</v>
      </c>
      <c r="E15" s="43">
        <v>1027.12</v>
      </c>
      <c r="F15" s="43">
        <v>9082.72</v>
      </c>
      <c r="G15" s="43">
        <v>9330.77</v>
      </c>
      <c r="H15" s="43">
        <f>E15+F15-G15</f>
        <v>779.0699999999997</v>
      </c>
    </row>
    <row r="16" spans="3:8" s="40" customFormat="1" ht="42">
      <c r="C16" s="15">
        <v>3</v>
      </c>
      <c r="D16" s="67" t="s">
        <v>87</v>
      </c>
      <c r="E16" s="43">
        <v>-13.11</v>
      </c>
      <c r="F16" s="43">
        <v>5398.68</v>
      </c>
      <c r="G16" s="43">
        <v>4612.12</v>
      </c>
      <c r="H16" s="43">
        <f>E16+F16-G16</f>
        <v>773.4500000000007</v>
      </c>
    </row>
    <row r="17" spans="3:8" s="40" customFormat="1" ht="41.25">
      <c r="C17" s="15"/>
      <c r="D17" s="44" t="s">
        <v>0</v>
      </c>
      <c r="E17" s="45">
        <f>SUM(E14:E16)</f>
        <v>5057.42</v>
      </c>
      <c r="F17" s="45">
        <f>SUM(F14:F16)</f>
        <v>61522.21</v>
      </c>
      <c r="G17" s="45">
        <f>SUM(G14:G16)</f>
        <v>51842.25000000001</v>
      </c>
      <c r="H17" s="45">
        <f>SUM(H14:H16)</f>
        <v>14737.380000000001</v>
      </c>
    </row>
    <row r="18" spans="3:8" s="40" customFormat="1" ht="21">
      <c r="C18" s="181" t="s">
        <v>19</v>
      </c>
      <c r="D18" s="182"/>
      <c r="E18" s="182"/>
      <c r="F18" s="182"/>
      <c r="G18" s="182"/>
      <c r="H18" s="183"/>
    </row>
    <row r="19" spans="3:8" s="40" customFormat="1" ht="21">
      <c r="C19" s="15">
        <v>4</v>
      </c>
      <c r="D19" s="15" t="s">
        <v>1</v>
      </c>
      <c r="E19" s="43">
        <v>10604.78</v>
      </c>
      <c r="F19" s="47">
        <v>170837.09</v>
      </c>
      <c r="G19" s="47">
        <v>133576.39</v>
      </c>
      <c r="H19" s="47">
        <f>E19+F19-G19</f>
        <v>47865.47999999998</v>
      </c>
    </row>
    <row r="20" spans="3:8" s="40" customFormat="1" ht="21">
      <c r="C20" s="15">
        <v>5</v>
      </c>
      <c r="D20" s="48" t="s">
        <v>2</v>
      </c>
      <c r="E20" s="49">
        <v>711.19</v>
      </c>
      <c r="F20" s="47">
        <v>12448.69</v>
      </c>
      <c r="G20" s="47">
        <v>12256.84</v>
      </c>
      <c r="H20" s="47">
        <f>E20+F20-G20</f>
        <v>903.0400000000009</v>
      </c>
    </row>
    <row r="21" spans="3:8" s="40" customFormat="1" ht="21" hidden="1">
      <c r="C21" s="15"/>
      <c r="D21" s="48" t="s">
        <v>7</v>
      </c>
      <c r="E21" s="49"/>
      <c r="F21" s="47"/>
      <c r="G21" s="47"/>
      <c r="H21" s="47">
        <f>E21+F21-G21</f>
        <v>0</v>
      </c>
    </row>
    <row r="22" spans="3:8" s="40" customFormat="1" ht="21">
      <c r="C22" s="15">
        <v>6</v>
      </c>
      <c r="D22" s="48" t="s">
        <v>3</v>
      </c>
      <c r="E22" s="49">
        <v>514.66</v>
      </c>
      <c r="F22" s="47">
        <v>7439.68</v>
      </c>
      <c r="G22" s="47">
        <v>7487.48</v>
      </c>
      <c r="H22" s="47">
        <f>E22+F22-G22</f>
        <v>466.8600000000006</v>
      </c>
    </row>
    <row r="23" spans="3:8" s="40" customFormat="1" ht="41.25" hidden="1">
      <c r="C23" s="15">
        <v>7</v>
      </c>
      <c r="D23" s="48" t="s">
        <v>4</v>
      </c>
      <c r="E23" s="49"/>
      <c r="F23" s="47"/>
      <c r="G23" s="47"/>
      <c r="H23" s="47">
        <f>F23-G23</f>
        <v>0</v>
      </c>
    </row>
    <row r="24" spans="3:8" s="40" customFormat="1" ht="41.25">
      <c r="C24" s="15"/>
      <c r="D24" s="44" t="s">
        <v>5</v>
      </c>
      <c r="E24" s="45">
        <f>SUM(E19:E23)</f>
        <v>11830.630000000001</v>
      </c>
      <c r="F24" s="45">
        <f>SUM(F19:F23)</f>
        <v>190725.46</v>
      </c>
      <c r="G24" s="45">
        <f>SUM(G19:G23)</f>
        <v>153320.71000000002</v>
      </c>
      <c r="H24" s="45">
        <f>SUM(H19:H23)</f>
        <v>49235.37999999998</v>
      </c>
    </row>
    <row r="25" spans="3:8" s="40" customFormat="1" ht="41.25">
      <c r="C25" s="15"/>
      <c r="D25" s="44" t="s">
        <v>6</v>
      </c>
      <c r="E25" s="45">
        <f>E17+E24</f>
        <v>16888.050000000003</v>
      </c>
      <c r="F25" s="45">
        <f>F17+F24</f>
        <v>252247.66999999998</v>
      </c>
      <c r="G25" s="45">
        <f>G17+G24</f>
        <v>205162.96000000002</v>
      </c>
      <c r="H25" s="45">
        <f>H17+H24</f>
        <v>63972.75999999998</v>
      </c>
    </row>
    <row r="26" spans="3:8" s="40" customFormat="1" ht="21">
      <c r="C26" s="50"/>
      <c r="D26" s="51"/>
      <c r="E26" s="51"/>
      <c r="F26" s="52"/>
      <c r="G26" s="52"/>
      <c r="H26" s="52"/>
    </row>
    <row r="27" spans="3:8" s="40" customFormat="1" ht="21">
      <c r="C27" s="50"/>
      <c r="D27" s="51"/>
      <c r="E27" s="51"/>
      <c r="F27" s="52"/>
      <c r="G27" s="52"/>
      <c r="H27" s="52"/>
    </row>
    <row r="28" spans="7:8" s="40" customFormat="1" ht="21">
      <c r="G28" s="53"/>
      <c r="H28" s="53" t="s">
        <v>20</v>
      </c>
    </row>
    <row r="29" spans="3:8" s="40" customFormat="1" ht="25.5">
      <c r="C29" s="170" t="s">
        <v>120</v>
      </c>
      <c r="D29" s="171"/>
      <c r="E29" s="171"/>
      <c r="F29" s="171"/>
      <c r="G29" s="171"/>
      <c r="H29" s="172"/>
    </row>
    <row r="30" spans="3:8" s="40" customFormat="1" ht="63">
      <c r="C30" s="184" t="s">
        <v>121</v>
      </c>
      <c r="D30" s="185"/>
      <c r="E30" s="185"/>
      <c r="F30" s="186"/>
      <c r="G30" s="41" t="s">
        <v>21</v>
      </c>
      <c r="H30" s="54" t="s">
        <v>126</v>
      </c>
    </row>
    <row r="31" spans="3:8" s="40" customFormat="1" ht="186.75" customHeight="1">
      <c r="C31" s="201" t="s">
        <v>123</v>
      </c>
      <c r="D31" s="202"/>
      <c r="E31" s="202"/>
      <c r="F31" s="203"/>
      <c r="G31" s="57">
        <f>F14</f>
        <v>47040.81</v>
      </c>
      <c r="H31" s="57">
        <f>H14</f>
        <v>13184.86</v>
      </c>
    </row>
    <row r="32" spans="3:8" s="40" customFormat="1" ht="25.5">
      <c r="C32" s="170" t="s">
        <v>119</v>
      </c>
      <c r="D32" s="171"/>
      <c r="E32" s="171"/>
      <c r="F32" s="171"/>
      <c r="G32" s="171"/>
      <c r="H32" s="172"/>
    </row>
    <row r="33" spans="3:8" s="40" customFormat="1" ht="63">
      <c r="C33" s="196" t="s">
        <v>132</v>
      </c>
      <c r="D33" s="197"/>
      <c r="E33" s="178" t="s">
        <v>121</v>
      </c>
      <c r="F33" s="179"/>
      <c r="G33" s="180"/>
      <c r="H33" s="89" t="s">
        <v>128</v>
      </c>
    </row>
    <row r="34" spans="3:8" s="40" customFormat="1" ht="21">
      <c r="C34" s="103"/>
      <c r="D34" s="104">
        <v>12712.15</v>
      </c>
      <c r="E34" s="165" t="s">
        <v>163</v>
      </c>
      <c r="F34" s="165"/>
      <c r="G34" s="49">
        <v>1000</v>
      </c>
      <c r="H34" s="43"/>
    </row>
    <row r="35" spans="3:8" s="40" customFormat="1" ht="21">
      <c r="C35" s="98"/>
      <c r="D35" s="136"/>
      <c r="E35" s="191" t="s">
        <v>103</v>
      </c>
      <c r="F35" s="192"/>
      <c r="G35" s="49">
        <f>255+495+58+188+25+132+740+75+58+87+251+43+25</f>
        <v>2432</v>
      </c>
      <c r="H35" s="43"/>
    </row>
    <row r="36" spans="3:8" s="40" customFormat="1" ht="21">
      <c r="C36" s="98"/>
      <c r="D36" s="105"/>
      <c r="E36" s="165" t="s">
        <v>104</v>
      </c>
      <c r="F36" s="165"/>
      <c r="G36" s="49">
        <f>70.2+151.2</f>
        <v>221.39999999999998</v>
      </c>
      <c r="H36" s="43"/>
    </row>
    <row r="37" spans="3:8" s="40" customFormat="1" ht="21">
      <c r="C37" s="98"/>
      <c r="D37" s="106"/>
      <c r="E37" s="208" t="s">
        <v>140</v>
      </c>
      <c r="F37" s="206"/>
      <c r="G37" s="134">
        <f>SUM(G34:G36)</f>
        <v>3653.4</v>
      </c>
      <c r="H37" s="76">
        <f>G15-G37</f>
        <v>5677.370000000001</v>
      </c>
    </row>
    <row r="38" spans="3:8" s="40" customFormat="1" ht="21">
      <c r="C38" s="99"/>
      <c r="D38" s="107"/>
      <c r="E38" s="213" t="s">
        <v>141</v>
      </c>
      <c r="F38" s="160"/>
      <c r="G38" s="68"/>
      <c r="H38" s="76">
        <f>H37+D34</f>
        <v>18389.52</v>
      </c>
    </row>
    <row r="39" spans="3:8" s="40" customFormat="1" ht="21" customHeight="1">
      <c r="C39" s="56">
        <v>3</v>
      </c>
      <c r="D39" s="44" t="s">
        <v>22</v>
      </c>
      <c r="E39" s="211"/>
      <c r="F39" s="212"/>
      <c r="G39" s="58"/>
      <c r="H39" s="15"/>
    </row>
    <row r="40" spans="3:8" s="40" customFormat="1" ht="21">
      <c r="C40" s="193"/>
      <c r="D40" s="194"/>
      <c r="E40" s="214"/>
      <c r="F40" s="215"/>
      <c r="G40" s="58"/>
      <c r="H40" s="15"/>
    </row>
    <row r="41" spans="3:8" s="40" customFormat="1" ht="21">
      <c r="C41" s="194"/>
      <c r="D41" s="194"/>
      <c r="E41" s="211"/>
      <c r="F41" s="212"/>
      <c r="G41" s="58"/>
      <c r="H41" s="15"/>
    </row>
    <row r="42" spans="3:8" s="40" customFormat="1" ht="18.75" customHeight="1">
      <c r="C42" s="194"/>
      <c r="D42" s="194"/>
      <c r="E42" s="211"/>
      <c r="F42" s="212"/>
      <c r="G42" s="58"/>
      <c r="H42" s="15"/>
    </row>
    <row r="43" spans="3:8" s="50" customFormat="1" ht="21" hidden="1">
      <c r="C43" s="194"/>
      <c r="D43" s="194"/>
      <c r="E43" s="75"/>
      <c r="F43" s="71"/>
      <c r="G43" s="58"/>
      <c r="H43" s="15"/>
    </row>
    <row r="44" spans="3:8" s="50" customFormat="1" ht="21" hidden="1">
      <c r="C44" s="194"/>
      <c r="D44" s="194"/>
      <c r="E44" s="75"/>
      <c r="F44" s="71"/>
      <c r="G44" s="58"/>
      <c r="H44" s="15"/>
    </row>
    <row r="45" spans="3:7" s="50" customFormat="1" ht="66" customHeight="1">
      <c r="C45" s="35" t="s">
        <v>106</v>
      </c>
      <c r="D45" s="35"/>
      <c r="E45" s="37"/>
      <c r="F45" s="37"/>
      <c r="G45" s="77"/>
    </row>
    <row r="46" spans="3:6" s="66" customFormat="1" ht="26.25">
      <c r="C46" s="35" t="s">
        <v>107</v>
      </c>
      <c r="D46" s="35"/>
      <c r="E46" s="37"/>
      <c r="F46" s="37"/>
    </row>
    <row r="47" s="64" customFormat="1" ht="15">
      <c r="G47" s="135">
        <f>G25</f>
        <v>205162.96000000002</v>
      </c>
    </row>
    <row r="48" ht="15">
      <c r="G48" s="37">
        <v>14887.04</v>
      </c>
    </row>
    <row r="49" ht="15">
      <c r="G49" s="37">
        <v>17483.62</v>
      </c>
    </row>
    <row r="50" ht="15">
      <c r="G50" s="129">
        <f>SUM(G47:G49)</f>
        <v>237533.62000000002</v>
      </c>
    </row>
  </sheetData>
  <sheetProtection/>
  <mergeCells count="19">
    <mergeCell ref="C13:H13"/>
    <mergeCell ref="C18:H18"/>
    <mergeCell ref="C40:C44"/>
    <mergeCell ref="D40:D44"/>
    <mergeCell ref="C29:H29"/>
    <mergeCell ref="C30:F30"/>
    <mergeCell ref="C31:F31"/>
    <mergeCell ref="C32:H32"/>
    <mergeCell ref="C33:D33"/>
    <mergeCell ref="E38:F38"/>
    <mergeCell ref="E33:G33"/>
    <mergeCell ref="E34:F34"/>
    <mergeCell ref="E36:F36"/>
    <mergeCell ref="E37:F37"/>
    <mergeCell ref="E35:F35"/>
    <mergeCell ref="E39:F39"/>
    <mergeCell ref="E40:F40"/>
    <mergeCell ref="E41:F41"/>
    <mergeCell ref="E42:F42"/>
  </mergeCells>
  <printOptions/>
  <pageMargins left="0.25" right="0.25" top="0.75" bottom="0.75" header="0.3" footer="0.3"/>
  <pageSetup horizontalDpi="600" verticalDpi="600" orientation="landscape" paperSize="9" scale="67" r:id="rId2"/>
  <rowBreaks count="1" manualBreakCount="1">
    <brk id="27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C1:H45"/>
  <sheetViews>
    <sheetView view="pageBreakPreview" zoomScale="73" zoomScaleSheetLayoutView="73" zoomScalePageLayoutView="0" workbookViewId="0" topLeftCell="A28">
      <selection activeCell="G35" sqref="G35"/>
    </sheetView>
  </sheetViews>
  <sheetFormatPr defaultColWidth="9.140625" defaultRowHeight="15"/>
  <cols>
    <col min="3" max="3" width="9.00390625" style="0" customWidth="1"/>
    <col min="4" max="5" width="37.8515625" style="0" customWidth="1"/>
    <col min="6" max="6" width="44.421875" style="0" customWidth="1"/>
    <col min="7" max="7" width="34.140625" style="0" customWidth="1"/>
    <col min="8" max="8" width="32.140625" style="0" customWidth="1"/>
  </cols>
  <sheetData>
    <row r="1" spans="4:7" s="1" customFormat="1" ht="28.5">
      <c r="D1" s="20" t="s">
        <v>24</v>
      </c>
      <c r="E1" s="20"/>
      <c r="F1" s="20"/>
      <c r="G1" s="20"/>
    </row>
    <row r="2" spans="4:7" s="1" customFormat="1" ht="28.5">
      <c r="D2" s="20" t="s">
        <v>25</v>
      </c>
      <c r="E2" s="20"/>
      <c r="F2" s="20"/>
      <c r="G2" s="20"/>
    </row>
    <row r="3" spans="4:8" ht="18.75">
      <c r="D3" s="2" t="s">
        <v>26</v>
      </c>
      <c r="E3" s="2"/>
      <c r="F3" s="2"/>
      <c r="G3" s="2"/>
      <c r="H3" s="7"/>
    </row>
    <row r="4" spans="4:8" ht="18.75">
      <c r="D4" s="2" t="s">
        <v>27</v>
      </c>
      <c r="E4" s="2"/>
      <c r="F4" s="2"/>
      <c r="G4" s="2"/>
      <c r="H4" s="7"/>
    </row>
    <row r="5" spans="4:8" ht="15">
      <c r="D5" s="7"/>
      <c r="E5" s="7"/>
      <c r="F5" s="7"/>
      <c r="G5" s="7"/>
      <c r="H5" s="7"/>
    </row>
    <row r="6" spans="4:7" s="3" customFormat="1" ht="26.25">
      <c r="D6" s="1" t="s">
        <v>28</v>
      </c>
      <c r="E6" s="1"/>
      <c r="F6" s="1"/>
      <c r="G6" s="1"/>
    </row>
    <row r="7" spans="4:7" s="3" customFormat="1" ht="26.25">
      <c r="D7" s="1" t="s">
        <v>41</v>
      </c>
      <c r="E7" s="1"/>
      <c r="F7" s="1"/>
      <c r="G7" s="1"/>
    </row>
    <row r="8" spans="4:7" s="3" customFormat="1" ht="26.25">
      <c r="D8" s="1" t="s">
        <v>125</v>
      </c>
      <c r="E8" s="1"/>
      <c r="F8" s="1"/>
      <c r="G8" s="1"/>
    </row>
    <row r="9" spans="4:8" ht="15">
      <c r="D9" s="7"/>
      <c r="E9" s="7"/>
      <c r="F9" s="7"/>
      <c r="G9" s="7"/>
      <c r="H9" s="7"/>
    </row>
    <row r="10" spans="3:8" ht="21">
      <c r="C10" s="3" t="s">
        <v>42</v>
      </c>
      <c r="D10" s="7"/>
      <c r="E10" s="7"/>
      <c r="F10" s="7"/>
      <c r="G10" s="7"/>
      <c r="H10" s="7"/>
    </row>
    <row r="11" s="3" customFormat="1" ht="34.5" customHeight="1">
      <c r="H11" s="8" t="s">
        <v>18</v>
      </c>
    </row>
    <row r="12" spans="3:8" s="10" customFormat="1" ht="40.5">
      <c r="C12" s="9" t="s">
        <v>11</v>
      </c>
      <c r="D12" s="9" t="s">
        <v>12</v>
      </c>
      <c r="E12" s="9" t="s">
        <v>114</v>
      </c>
      <c r="F12" s="9" t="s">
        <v>13</v>
      </c>
      <c r="G12" s="9" t="s">
        <v>14</v>
      </c>
      <c r="H12" s="9" t="s">
        <v>10</v>
      </c>
    </row>
    <row r="13" spans="3:8" s="3" customFormat="1" ht="21">
      <c r="C13" s="222" t="s">
        <v>15</v>
      </c>
      <c r="D13" s="223"/>
      <c r="E13" s="223"/>
      <c r="F13" s="223"/>
      <c r="G13" s="223"/>
      <c r="H13" s="224"/>
    </row>
    <row r="14" spans="3:8" s="3" customFormat="1" ht="21">
      <c r="C14" s="11">
        <v>1</v>
      </c>
      <c r="D14" s="11" t="s">
        <v>16</v>
      </c>
      <c r="E14" s="24">
        <v>9052.91</v>
      </c>
      <c r="F14" s="24">
        <v>40241.04</v>
      </c>
      <c r="G14" s="24">
        <v>58394.42</v>
      </c>
      <c r="H14" s="24">
        <f>E14+F14-G14</f>
        <v>-9100.470000000001</v>
      </c>
    </row>
    <row r="15" spans="3:8" s="3" customFormat="1" ht="21">
      <c r="C15" s="11">
        <v>2</v>
      </c>
      <c r="D15" s="11" t="s">
        <v>17</v>
      </c>
      <c r="E15" s="24">
        <v>2613.41</v>
      </c>
      <c r="F15" s="24">
        <v>11616.96</v>
      </c>
      <c r="G15" s="24">
        <v>16857.99</v>
      </c>
      <c r="H15" s="24">
        <f>E15+F15-G15</f>
        <v>-2627.6200000000026</v>
      </c>
    </row>
    <row r="16" spans="3:8" s="3" customFormat="1" ht="42">
      <c r="C16" s="11">
        <v>3</v>
      </c>
      <c r="D16" s="22" t="s">
        <v>87</v>
      </c>
      <c r="E16" s="24">
        <v>933.57</v>
      </c>
      <c r="F16" s="24">
        <v>4800</v>
      </c>
      <c r="G16" s="24"/>
      <c r="H16" s="24">
        <f>E16+F16-G16</f>
        <v>5733.57</v>
      </c>
    </row>
    <row r="17" spans="3:8" s="3" customFormat="1" ht="41.25">
      <c r="C17" s="11"/>
      <c r="D17" s="4" t="s">
        <v>0</v>
      </c>
      <c r="E17" s="25">
        <f>SUM(E14:E16)</f>
        <v>12599.89</v>
      </c>
      <c r="F17" s="25">
        <f>SUM(F14:F16)</f>
        <v>56658</v>
      </c>
      <c r="G17" s="25">
        <f>SUM(G14:G16)</f>
        <v>75252.41</v>
      </c>
      <c r="H17" s="25">
        <f>SUM(H14:H16)</f>
        <v>-5994.520000000004</v>
      </c>
    </row>
    <row r="18" spans="3:8" s="3" customFormat="1" ht="21">
      <c r="C18" s="222" t="s">
        <v>19</v>
      </c>
      <c r="D18" s="223"/>
      <c r="E18" s="223"/>
      <c r="F18" s="223"/>
      <c r="G18" s="223"/>
      <c r="H18" s="224"/>
    </row>
    <row r="19" spans="3:8" s="3" customFormat="1" ht="21">
      <c r="C19" s="11">
        <v>4</v>
      </c>
      <c r="D19" s="11" t="s">
        <v>1</v>
      </c>
      <c r="E19" s="24">
        <v>37446.54</v>
      </c>
      <c r="F19" s="27">
        <v>175332.03</v>
      </c>
      <c r="G19" s="27"/>
      <c r="H19" s="27">
        <f>E19+F19-G19</f>
        <v>212778.57</v>
      </c>
    </row>
    <row r="20" spans="3:8" s="3" customFormat="1" ht="21">
      <c r="C20" s="11">
        <v>5</v>
      </c>
      <c r="D20" s="14" t="s">
        <v>2</v>
      </c>
      <c r="E20" s="28">
        <v>5107.73</v>
      </c>
      <c r="F20" s="27">
        <v>24775.79</v>
      </c>
      <c r="G20" s="27">
        <v>52610.59</v>
      </c>
      <c r="H20" s="27">
        <f>E20+F20-G20</f>
        <v>-22727.069999999996</v>
      </c>
    </row>
    <row r="21" spans="3:8" s="3" customFormat="1" ht="21" hidden="1">
      <c r="C21" s="15"/>
      <c r="D21" s="14" t="s">
        <v>7</v>
      </c>
      <c r="E21" s="28"/>
      <c r="F21" s="27"/>
      <c r="G21" s="27"/>
      <c r="H21" s="27">
        <f>E21+F21-G21</f>
        <v>0</v>
      </c>
    </row>
    <row r="22" spans="3:8" s="3" customFormat="1" ht="21">
      <c r="C22" s="15">
        <v>6</v>
      </c>
      <c r="D22" s="14" t="s">
        <v>3</v>
      </c>
      <c r="E22" s="28">
        <v>3181.54</v>
      </c>
      <c r="F22" s="27">
        <v>14877.38</v>
      </c>
      <c r="G22" s="27">
        <v>31640.7</v>
      </c>
      <c r="H22" s="27">
        <f>E22+F22-G22</f>
        <v>-13581.780000000002</v>
      </c>
    </row>
    <row r="23" spans="3:8" s="3" customFormat="1" ht="41.25" hidden="1">
      <c r="C23" s="15">
        <v>7</v>
      </c>
      <c r="D23" s="14" t="s">
        <v>4</v>
      </c>
      <c r="E23" s="28"/>
      <c r="F23" s="27"/>
      <c r="G23" s="27"/>
      <c r="H23" s="27">
        <f>F23-G23</f>
        <v>0</v>
      </c>
    </row>
    <row r="24" spans="3:8" s="3" customFormat="1" ht="41.25">
      <c r="C24" s="11"/>
      <c r="D24" s="4" t="s">
        <v>5</v>
      </c>
      <c r="E24" s="25">
        <f>SUM(E19:E23)</f>
        <v>45735.810000000005</v>
      </c>
      <c r="F24" s="25">
        <f>SUM(F19:F23)</f>
        <v>214985.2</v>
      </c>
      <c r="G24" s="25">
        <f>SUM(G19:G23)</f>
        <v>84251.29</v>
      </c>
      <c r="H24" s="25">
        <f>SUM(H19:H23)</f>
        <v>176469.72</v>
      </c>
    </row>
    <row r="25" spans="3:8" s="3" customFormat="1" ht="41.25">
      <c r="C25" s="11"/>
      <c r="D25" s="4" t="s">
        <v>6</v>
      </c>
      <c r="E25" s="25">
        <f>E17+E24</f>
        <v>58335.700000000004</v>
      </c>
      <c r="F25" s="25">
        <f>F17+F24</f>
        <v>271643.2</v>
      </c>
      <c r="G25" s="25">
        <f>G17+G24</f>
        <v>159503.7</v>
      </c>
      <c r="H25" s="25">
        <f>H17+H24</f>
        <v>170475.2</v>
      </c>
    </row>
    <row r="26" spans="3:8" s="3" customFormat="1" ht="21">
      <c r="C26" s="16"/>
      <c r="D26" s="17"/>
      <c r="E26" s="17"/>
      <c r="F26" s="18"/>
      <c r="G26" s="18"/>
      <c r="H26" s="18"/>
    </row>
    <row r="27" spans="3:8" s="3" customFormat="1" ht="21">
      <c r="C27" s="16"/>
      <c r="D27" s="17"/>
      <c r="E27" s="17"/>
      <c r="F27" s="18"/>
      <c r="G27" s="18"/>
      <c r="H27" s="18"/>
    </row>
    <row r="28" spans="7:8" s="3" customFormat="1" ht="21">
      <c r="G28" s="8"/>
      <c r="H28" s="8" t="s">
        <v>20</v>
      </c>
    </row>
    <row r="29" spans="3:8" s="3" customFormat="1" ht="36.75" customHeight="1">
      <c r="C29" s="170" t="s">
        <v>120</v>
      </c>
      <c r="D29" s="171"/>
      <c r="E29" s="171"/>
      <c r="F29" s="171"/>
      <c r="G29" s="171"/>
      <c r="H29" s="172"/>
    </row>
    <row r="30" spans="3:8" s="3" customFormat="1" ht="42">
      <c r="C30" s="184" t="s">
        <v>121</v>
      </c>
      <c r="D30" s="185"/>
      <c r="E30" s="185"/>
      <c r="F30" s="186"/>
      <c r="G30" s="41" t="s">
        <v>21</v>
      </c>
      <c r="H30" s="54" t="s">
        <v>126</v>
      </c>
    </row>
    <row r="31" spans="3:8" s="3" customFormat="1" ht="191.25" customHeight="1">
      <c r="C31" s="201" t="s">
        <v>123</v>
      </c>
      <c r="D31" s="202"/>
      <c r="E31" s="202"/>
      <c r="F31" s="203"/>
      <c r="G31" s="57">
        <f>F14</f>
        <v>40241.04</v>
      </c>
      <c r="H31" s="57">
        <f>H14</f>
        <v>-9100.470000000001</v>
      </c>
    </row>
    <row r="32" spans="3:8" s="3" customFormat="1" ht="42.75" customHeight="1">
      <c r="C32" s="170" t="s">
        <v>119</v>
      </c>
      <c r="D32" s="171"/>
      <c r="E32" s="171"/>
      <c r="F32" s="171"/>
      <c r="G32" s="171"/>
      <c r="H32" s="172"/>
    </row>
    <row r="33" spans="3:8" s="3" customFormat="1" ht="63">
      <c r="C33" s="196" t="s">
        <v>132</v>
      </c>
      <c r="D33" s="197"/>
      <c r="E33" s="178" t="s">
        <v>121</v>
      </c>
      <c r="F33" s="179"/>
      <c r="G33" s="180"/>
      <c r="H33" s="89" t="s">
        <v>128</v>
      </c>
    </row>
    <row r="34" spans="3:8" s="3" customFormat="1" ht="21">
      <c r="C34" s="118"/>
      <c r="D34" s="113">
        <v>12290.7</v>
      </c>
      <c r="E34" s="218" t="s">
        <v>104</v>
      </c>
      <c r="F34" s="219"/>
      <c r="G34" s="28">
        <v>500</v>
      </c>
      <c r="H34" s="24"/>
    </row>
    <row r="35" spans="3:8" s="3" customFormat="1" ht="21">
      <c r="C35" s="111"/>
      <c r="D35" s="114"/>
      <c r="E35" s="218"/>
      <c r="F35" s="219"/>
      <c r="G35" s="28"/>
      <c r="H35" s="24"/>
    </row>
    <row r="36" spans="3:8" s="3" customFormat="1" ht="21">
      <c r="C36" s="111"/>
      <c r="D36" s="114"/>
      <c r="E36" s="229"/>
      <c r="F36" s="219"/>
      <c r="G36" s="28"/>
      <c r="H36" s="24"/>
    </row>
    <row r="37" spans="3:8" s="3" customFormat="1" ht="21">
      <c r="C37" s="111"/>
      <c r="D37" s="115"/>
      <c r="E37" s="220" t="s">
        <v>140</v>
      </c>
      <c r="F37" s="221"/>
      <c r="G37" s="29">
        <f>SUM(G34:G36)</f>
        <v>500</v>
      </c>
      <c r="H37" s="30">
        <f>G15-G37</f>
        <v>16357.990000000002</v>
      </c>
    </row>
    <row r="38" spans="3:8" s="3" customFormat="1" ht="21">
      <c r="C38" s="112"/>
      <c r="D38" s="116"/>
      <c r="E38" s="216" t="s">
        <v>141</v>
      </c>
      <c r="F38" s="217"/>
      <c r="G38" s="29"/>
      <c r="H38" s="30">
        <f>H37+D34</f>
        <v>28648.690000000002</v>
      </c>
    </row>
    <row r="39" spans="3:8" s="3" customFormat="1" ht="21">
      <c r="C39" s="117">
        <v>3</v>
      </c>
      <c r="D39" s="108" t="s">
        <v>22</v>
      </c>
      <c r="E39" s="230"/>
      <c r="F39" s="230"/>
      <c r="G39" s="19"/>
      <c r="H39" s="11"/>
    </row>
    <row r="40" spans="3:8" s="3" customFormat="1" ht="21">
      <c r="C40" s="225"/>
      <c r="D40" s="228"/>
      <c r="E40" s="231"/>
      <c r="F40" s="231"/>
      <c r="G40" s="19"/>
      <c r="H40" s="11"/>
    </row>
    <row r="41" spans="3:8" s="3" customFormat="1" ht="21">
      <c r="C41" s="226"/>
      <c r="D41" s="226"/>
      <c r="E41" s="230"/>
      <c r="F41" s="230"/>
      <c r="G41" s="19"/>
      <c r="H41" s="11"/>
    </row>
    <row r="42" spans="3:8" s="3" customFormat="1" ht="21">
      <c r="C42" s="227"/>
      <c r="D42" s="227"/>
      <c r="E42" s="230"/>
      <c r="F42" s="230"/>
      <c r="G42" s="19"/>
      <c r="H42" s="11"/>
    </row>
    <row r="43" s="6" customFormat="1" ht="21">
      <c r="C43" s="3"/>
    </row>
    <row r="44" spans="4:7" s="5" customFormat="1" ht="26.25">
      <c r="D44" s="1" t="s">
        <v>106</v>
      </c>
      <c r="E44" s="1"/>
      <c r="F44"/>
      <c r="G44"/>
    </row>
    <row r="45" spans="4:5" ht="26.25">
      <c r="D45" s="1" t="s">
        <v>107</v>
      </c>
      <c r="E45" s="1"/>
    </row>
  </sheetData>
  <sheetProtection/>
  <mergeCells count="19">
    <mergeCell ref="E39:F39"/>
    <mergeCell ref="E40:F40"/>
    <mergeCell ref="E41:F41"/>
    <mergeCell ref="E42:F42"/>
    <mergeCell ref="C13:H13"/>
    <mergeCell ref="C18:H18"/>
    <mergeCell ref="C40:C42"/>
    <mergeCell ref="D40:D42"/>
    <mergeCell ref="E36:F36"/>
    <mergeCell ref="C29:H29"/>
    <mergeCell ref="C30:F30"/>
    <mergeCell ref="C31:F31"/>
    <mergeCell ref="C32:H32"/>
    <mergeCell ref="C33:D33"/>
    <mergeCell ref="E38:F38"/>
    <mergeCell ref="E33:G33"/>
    <mergeCell ref="E34:F34"/>
    <mergeCell ref="E35:F35"/>
    <mergeCell ref="E37:F37"/>
  </mergeCells>
  <printOptions/>
  <pageMargins left="0.25" right="0.25" top="0.75" bottom="0.75" header="0.3" footer="0.3"/>
  <pageSetup horizontalDpi="600" verticalDpi="600" orientation="landscape" paperSize="9" scale="68" r:id="rId2"/>
  <rowBreaks count="1" manualBreakCount="1">
    <brk id="27" min="2" max="7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C1:J55"/>
  <sheetViews>
    <sheetView view="pageBreakPreview" zoomScale="73" zoomScaleSheetLayoutView="73" zoomScalePageLayoutView="0" workbookViewId="0" topLeftCell="C36">
      <selection activeCell="J47" sqref="J47"/>
    </sheetView>
  </sheetViews>
  <sheetFormatPr defaultColWidth="9.140625" defaultRowHeight="15"/>
  <cols>
    <col min="1" max="2" width="9.140625" style="37" customWidth="1"/>
    <col min="3" max="3" width="9.00390625" style="37" customWidth="1"/>
    <col min="4" max="4" width="46.421875" style="37" customWidth="1"/>
    <col min="5" max="5" width="37.8515625" style="37" customWidth="1"/>
    <col min="6" max="6" width="44.421875" style="37" customWidth="1"/>
    <col min="7" max="7" width="34.140625" style="37" customWidth="1"/>
    <col min="8" max="8" width="30.421875" style="37" customWidth="1"/>
    <col min="9" max="9" width="28.421875" style="37" customWidth="1"/>
    <col min="10" max="10" width="16.7109375" style="37" customWidth="1"/>
    <col min="11" max="16384" width="9.140625" style="37" customWidth="1"/>
  </cols>
  <sheetData>
    <row r="1" spans="4:7" s="35" customFormat="1" ht="28.5">
      <c r="D1" s="36" t="s">
        <v>24</v>
      </c>
      <c r="E1" s="36"/>
      <c r="F1" s="36"/>
      <c r="G1" s="36"/>
    </row>
    <row r="2" spans="4:7" s="35" customFormat="1" ht="28.5">
      <c r="D2" s="36" t="s">
        <v>25</v>
      </c>
      <c r="E2" s="36"/>
      <c r="F2" s="36"/>
      <c r="G2" s="36"/>
    </row>
    <row r="3" spans="4:8" ht="18.75">
      <c r="D3" s="38" t="s">
        <v>26</v>
      </c>
      <c r="E3" s="38"/>
      <c r="F3" s="38"/>
      <c r="G3" s="38"/>
      <c r="H3" s="39"/>
    </row>
    <row r="4" spans="4:8" ht="18.75">
      <c r="D4" s="38" t="s">
        <v>27</v>
      </c>
      <c r="E4" s="38"/>
      <c r="F4" s="38"/>
      <c r="G4" s="38"/>
      <c r="H4" s="39"/>
    </row>
    <row r="5" spans="4:8" ht="15">
      <c r="D5" s="39"/>
      <c r="E5" s="39"/>
      <c r="F5" s="39"/>
      <c r="G5" s="39"/>
      <c r="H5" s="39"/>
    </row>
    <row r="6" spans="4:7" s="40" customFormat="1" ht="26.25">
      <c r="D6" s="35" t="s">
        <v>28</v>
      </c>
      <c r="E6" s="35"/>
      <c r="F6" s="35"/>
      <c r="G6" s="35"/>
    </row>
    <row r="7" spans="4:7" s="40" customFormat="1" ht="26.25">
      <c r="D7" s="35" t="s">
        <v>43</v>
      </c>
      <c r="E7" s="35"/>
      <c r="F7" s="35"/>
      <c r="G7" s="35"/>
    </row>
    <row r="8" spans="4:7" s="40" customFormat="1" ht="26.25">
      <c r="D8" s="35" t="s">
        <v>125</v>
      </c>
      <c r="E8" s="35"/>
      <c r="F8" s="35"/>
      <c r="G8" s="35"/>
    </row>
    <row r="9" spans="4:8" ht="15">
      <c r="D9" s="39"/>
      <c r="E9" s="39"/>
      <c r="F9" s="39"/>
      <c r="G9" s="39"/>
      <c r="H9" s="39"/>
    </row>
    <row r="10" spans="3:8" ht="21">
      <c r="C10" s="40" t="s">
        <v>44</v>
      </c>
      <c r="D10" s="39"/>
      <c r="E10" s="39"/>
      <c r="F10" s="39"/>
      <c r="G10" s="39"/>
      <c r="H10" s="39"/>
    </row>
    <row r="11" s="40" customFormat="1" ht="34.5" customHeight="1">
      <c r="H11" s="53" t="s">
        <v>18</v>
      </c>
    </row>
    <row r="12" spans="3:8" s="42" customFormat="1" ht="40.5">
      <c r="C12" s="41" t="s">
        <v>11</v>
      </c>
      <c r="D12" s="41" t="s">
        <v>12</v>
      </c>
      <c r="E12" s="41" t="s">
        <v>114</v>
      </c>
      <c r="F12" s="41" t="s">
        <v>13</v>
      </c>
      <c r="G12" s="41" t="s">
        <v>14</v>
      </c>
      <c r="H12" s="41" t="s">
        <v>10</v>
      </c>
    </row>
    <row r="13" spans="3:8" s="40" customFormat="1" ht="21">
      <c r="C13" s="181" t="s">
        <v>15</v>
      </c>
      <c r="D13" s="182"/>
      <c r="E13" s="182"/>
      <c r="F13" s="182"/>
      <c r="G13" s="182"/>
      <c r="H13" s="183"/>
    </row>
    <row r="14" spans="3:8" s="40" customFormat="1" ht="21">
      <c r="C14" s="15">
        <v>1</v>
      </c>
      <c r="D14" s="15" t="s">
        <v>16</v>
      </c>
      <c r="E14" s="43">
        <v>17907.18</v>
      </c>
      <c r="F14" s="43">
        <v>105017.33</v>
      </c>
      <c r="G14" s="43">
        <v>65455.24</v>
      </c>
      <c r="H14" s="43">
        <f>E14+F14-G14</f>
        <v>57469.27000000001</v>
      </c>
    </row>
    <row r="15" spans="3:8" s="40" customFormat="1" ht="21">
      <c r="C15" s="15">
        <v>2</v>
      </c>
      <c r="D15" s="15" t="s">
        <v>17</v>
      </c>
      <c r="E15" s="43">
        <v>-9080.49</v>
      </c>
      <c r="F15" s="43">
        <v>10445.32</v>
      </c>
      <c r="G15" s="43">
        <v>17529.45</v>
      </c>
      <c r="H15" s="43">
        <f>E15+F15-G15</f>
        <v>-16164.62</v>
      </c>
    </row>
    <row r="16" spans="3:8" s="40" customFormat="1" ht="21" hidden="1">
      <c r="C16" s="15">
        <v>3</v>
      </c>
      <c r="D16" s="15" t="s">
        <v>116</v>
      </c>
      <c r="E16" s="43"/>
      <c r="F16" s="43"/>
      <c r="G16" s="43"/>
      <c r="H16" s="43">
        <f>E16+F16-G16</f>
        <v>0</v>
      </c>
    </row>
    <row r="17" spans="3:8" s="40" customFormat="1" ht="21">
      <c r="C17" s="15"/>
      <c r="D17" s="44" t="s">
        <v>0</v>
      </c>
      <c r="E17" s="45">
        <f>SUM(E14:E15)</f>
        <v>8826.69</v>
      </c>
      <c r="F17" s="45">
        <f>SUM(F14:F16)</f>
        <v>115462.65</v>
      </c>
      <c r="G17" s="45">
        <f>SUM(G14:G15)</f>
        <v>82984.69</v>
      </c>
      <c r="H17" s="45">
        <f>SUM(H14:H16)</f>
        <v>41304.65000000001</v>
      </c>
    </row>
    <row r="18" spans="3:8" s="40" customFormat="1" ht="21">
      <c r="C18" s="181" t="s">
        <v>19</v>
      </c>
      <c r="D18" s="182"/>
      <c r="E18" s="182"/>
      <c r="F18" s="182"/>
      <c r="G18" s="182"/>
      <c r="H18" s="183"/>
    </row>
    <row r="19" spans="3:8" s="40" customFormat="1" ht="21">
      <c r="C19" s="15">
        <v>4</v>
      </c>
      <c r="D19" s="15" t="s">
        <v>1</v>
      </c>
      <c r="E19" s="43">
        <v>75574.64</v>
      </c>
      <c r="F19" s="47">
        <v>293816.92</v>
      </c>
      <c r="G19" s="47">
        <v>216269.86</v>
      </c>
      <c r="H19" s="47">
        <f>E19+F19-G19</f>
        <v>153121.7</v>
      </c>
    </row>
    <row r="20" spans="3:8" s="40" customFormat="1" ht="21">
      <c r="C20" s="15">
        <v>5</v>
      </c>
      <c r="D20" s="48" t="s">
        <v>2</v>
      </c>
      <c r="E20" s="49">
        <v>16552.55</v>
      </c>
      <c r="F20" s="47">
        <v>67515.62</v>
      </c>
      <c r="G20" s="47">
        <v>57260.53</v>
      </c>
      <c r="H20" s="47">
        <f>E20+F20-G20</f>
        <v>26807.64</v>
      </c>
    </row>
    <row r="21" spans="3:8" s="40" customFormat="1" ht="21" hidden="1">
      <c r="C21" s="15">
        <v>5</v>
      </c>
      <c r="D21" s="48" t="s">
        <v>7</v>
      </c>
      <c r="E21" s="49"/>
      <c r="F21" s="47"/>
      <c r="G21" s="47"/>
      <c r="H21" s="47">
        <f>E21+F21-G21</f>
        <v>0</v>
      </c>
    </row>
    <row r="22" spans="3:8" s="40" customFormat="1" ht="21">
      <c r="C22" s="15">
        <v>6</v>
      </c>
      <c r="D22" s="48" t="s">
        <v>3</v>
      </c>
      <c r="E22" s="49">
        <v>10037.44</v>
      </c>
      <c r="F22" s="47">
        <v>40312.93</v>
      </c>
      <c r="G22" s="47">
        <v>34674.88</v>
      </c>
      <c r="H22" s="47">
        <f>E22+F22-G22</f>
        <v>15675.490000000005</v>
      </c>
    </row>
    <row r="23" spans="3:8" s="40" customFormat="1" ht="21" hidden="1">
      <c r="C23" s="15">
        <v>7</v>
      </c>
      <c r="D23" s="48" t="s">
        <v>4</v>
      </c>
      <c r="E23" s="49"/>
      <c r="F23" s="47"/>
      <c r="G23" s="47"/>
      <c r="H23" s="47">
        <f>F23-G23</f>
        <v>0</v>
      </c>
    </row>
    <row r="24" spans="3:8" s="40" customFormat="1" ht="41.25">
      <c r="C24" s="15"/>
      <c r="D24" s="44" t="s">
        <v>5</v>
      </c>
      <c r="E24" s="45">
        <f>SUM(E19:E23)</f>
        <v>102164.63</v>
      </c>
      <c r="F24" s="45">
        <f>SUM(F19:F23)</f>
        <v>401645.47</v>
      </c>
      <c r="G24" s="45">
        <f>SUM(G19:G23)</f>
        <v>308205.27</v>
      </c>
      <c r="H24" s="45">
        <f>SUM(H19:H23)</f>
        <v>195604.83000000002</v>
      </c>
    </row>
    <row r="25" spans="3:8" s="40" customFormat="1" ht="41.25">
      <c r="C25" s="15"/>
      <c r="D25" s="44" t="s">
        <v>6</v>
      </c>
      <c r="E25" s="45">
        <f>E17+E24</f>
        <v>110991.32</v>
      </c>
      <c r="F25" s="45">
        <f>F17+F24</f>
        <v>517108.12</v>
      </c>
      <c r="G25" s="45">
        <f>G17+G24</f>
        <v>391189.96</v>
      </c>
      <c r="H25" s="45">
        <f>H17+H24</f>
        <v>236909.48000000004</v>
      </c>
    </row>
    <row r="26" spans="3:9" s="40" customFormat="1" ht="21">
      <c r="C26" s="50"/>
      <c r="D26" s="51"/>
      <c r="E26" s="51"/>
      <c r="F26" s="52"/>
      <c r="G26" s="52"/>
      <c r="H26" s="52"/>
      <c r="I26" s="78"/>
    </row>
    <row r="27" spans="3:8" s="40" customFormat="1" ht="21">
      <c r="C27" s="50"/>
      <c r="D27" s="51"/>
      <c r="E27" s="51"/>
      <c r="F27" s="52"/>
      <c r="G27" s="52"/>
      <c r="H27" s="52"/>
    </row>
    <row r="28" spans="3:8" s="40" customFormat="1" ht="21">
      <c r="C28" s="50"/>
      <c r="D28" s="51"/>
      <c r="E28" s="51"/>
      <c r="F28" s="52"/>
      <c r="G28" s="52"/>
      <c r="H28" s="52"/>
    </row>
    <row r="29" spans="3:8" s="40" customFormat="1" ht="21">
      <c r="C29" s="50"/>
      <c r="D29" s="51"/>
      <c r="E29" s="51"/>
      <c r="F29" s="52"/>
      <c r="G29" s="52"/>
      <c r="H29" s="52"/>
    </row>
    <row r="30" spans="3:8" s="40" customFormat="1" ht="21">
      <c r="C30" s="50"/>
      <c r="D30" s="51"/>
      <c r="E30" s="51"/>
      <c r="F30" s="52"/>
      <c r="G30" s="52"/>
      <c r="H30" s="53" t="s">
        <v>20</v>
      </c>
    </row>
    <row r="31" spans="3:8" s="40" customFormat="1" ht="25.5">
      <c r="C31" s="170" t="s">
        <v>120</v>
      </c>
      <c r="D31" s="171"/>
      <c r="E31" s="171"/>
      <c r="F31" s="171"/>
      <c r="G31" s="171"/>
      <c r="H31" s="172"/>
    </row>
    <row r="32" spans="3:8" s="40" customFormat="1" ht="63">
      <c r="C32" s="184" t="s">
        <v>121</v>
      </c>
      <c r="D32" s="185"/>
      <c r="E32" s="185"/>
      <c r="F32" s="186"/>
      <c r="G32" s="41" t="s">
        <v>21</v>
      </c>
      <c r="H32" s="54" t="s">
        <v>126</v>
      </c>
    </row>
    <row r="33" spans="3:8" s="40" customFormat="1" ht="185.25" customHeight="1">
      <c r="C33" s="201" t="s">
        <v>123</v>
      </c>
      <c r="D33" s="202"/>
      <c r="E33" s="202"/>
      <c r="F33" s="203"/>
      <c r="G33" s="57">
        <f>F14</f>
        <v>105017.33</v>
      </c>
      <c r="H33" s="57">
        <f>H14</f>
        <v>57469.27000000001</v>
      </c>
    </row>
    <row r="34" spans="3:8" s="40" customFormat="1" ht="25.5">
      <c r="C34" s="170" t="s">
        <v>119</v>
      </c>
      <c r="D34" s="171"/>
      <c r="E34" s="171"/>
      <c r="F34" s="171"/>
      <c r="G34" s="171"/>
      <c r="H34" s="172"/>
    </row>
    <row r="35" spans="3:8" s="40" customFormat="1" ht="87.75" customHeight="1">
      <c r="C35" s="196" t="s">
        <v>132</v>
      </c>
      <c r="D35" s="197"/>
      <c r="E35" s="178" t="s">
        <v>121</v>
      </c>
      <c r="F35" s="179"/>
      <c r="G35" s="180"/>
      <c r="H35" s="89" t="s">
        <v>128</v>
      </c>
    </row>
    <row r="36" spans="3:8" s="40" customFormat="1" ht="21">
      <c r="C36" s="103"/>
      <c r="D36" s="104">
        <v>8939.08</v>
      </c>
      <c r="E36" s="191" t="s">
        <v>164</v>
      </c>
      <c r="F36" s="192"/>
      <c r="G36" s="49">
        <f>395+43+40+6+8+60+34</f>
        <v>586</v>
      </c>
      <c r="H36" s="43"/>
    </row>
    <row r="37" spans="3:8" s="40" customFormat="1" ht="21">
      <c r="C37" s="98"/>
      <c r="D37" s="105"/>
      <c r="E37" s="191" t="s">
        <v>165</v>
      </c>
      <c r="F37" s="192"/>
      <c r="G37" s="49">
        <f>9414.08+36.8+73.6+50+110.4+40+18.04+36+68.8+8.2+12+23.6+18.04+30+58+5+30+107</f>
        <v>10139.560000000001</v>
      </c>
      <c r="H37" s="43"/>
    </row>
    <row r="38" spans="3:8" s="40" customFormat="1" ht="21">
      <c r="C38" s="98"/>
      <c r="D38" s="105"/>
      <c r="E38" s="191"/>
      <c r="F38" s="192"/>
      <c r="G38" s="49"/>
      <c r="H38" s="43"/>
    </row>
    <row r="39" spans="3:8" s="40" customFormat="1" ht="21">
      <c r="C39" s="98"/>
      <c r="D39" s="106"/>
      <c r="E39" s="205" t="s">
        <v>140</v>
      </c>
      <c r="F39" s="206"/>
      <c r="G39" s="68">
        <f>SUM(G36:G38)</f>
        <v>10725.560000000001</v>
      </c>
      <c r="H39" s="76">
        <f>G15-G39</f>
        <v>6803.889999999999</v>
      </c>
    </row>
    <row r="40" spans="3:8" s="40" customFormat="1" ht="21">
      <c r="C40" s="99"/>
      <c r="D40" s="107"/>
      <c r="E40" s="188" t="s">
        <v>141</v>
      </c>
      <c r="F40" s="160"/>
      <c r="G40" s="68"/>
      <c r="H40" s="76">
        <f>H39+D36</f>
        <v>15742.97</v>
      </c>
    </row>
    <row r="41" spans="3:8" s="40" customFormat="1" ht="21">
      <c r="C41" s="96">
        <v>3</v>
      </c>
      <c r="D41" s="94" t="s">
        <v>22</v>
      </c>
      <c r="E41" s="232"/>
      <c r="F41" s="233"/>
      <c r="G41" s="58"/>
      <c r="H41" s="15"/>
    </row>
    <row r="42" spans="3:8" s="40" customFormat="1" ht="21">
      <c r="C42" s="193"/>
      <c r="D42" s="194"/>
      <c r="E42" s="207"/>
      <c r="F42" s="207"/>
      <c r="G42" s="58"/>
      <c r="H42" s="15"/>
    </row>
    <row r="43" spans="3:8" s="40" customFormat="1" ht="21">
      <c r="C43" s="194"/>
      <c r="D43" s="194"/>
      <c r="E43" s="204"/>
      <c r="F43" s="204"/>
      <c r="G43" s="58"/>
      <c r="H43" s="15"/>
    </row>
    <row r="44" spans="3:8" s="40" customFormat="1" ht="21">
      <c r="C44" s="194"/>
      <c r="D44" s="194"/>
      <c r="E44" s="164"/>
      <c r="F44" s="164"/>
      <c r="G44" s="58"/>
      <c r="H44" s="15"/>
    </row>
    <row r="45" spans="3:9" s="137" customFormat="1" ht="21">
      <c r="C45" s="120"/>
      <c r="D45" s="120"/>
      <c r="E45" s="120"/>
      <c r="F45" s="121"/>
      <c r="G45" s="95"/>
      <c r="H45" s="122"/>
      <c r="I45" s="81" t="s">
        <v>47</v>
      </c>
    </row>
    <row r="46" spans="3:10" s="64" customFormat="1" ht="60.75">
      <c r="C46" s="41" t="s">
        <v>11</v>
      </c>
      <c r="D46" s="41" t="s">
        <v>50</v>
      </c>
      <c r="E46" s="41" t="s">
        <v>166</v>
      </c>
      <c r="F46" s="41" t="s">
        <v>114</v>
      </c>
      <c r="G46" s="41" t="s">
        <v>167</v>
      </c>
      <c r="H46" s="41" t="s">
        <v>130</v>
      </c>
      <c r="I46" s="41" t="s">
        <v>168</v>
      </c>
      <c r="J46" s="41" t="s">
        <v>115</v>
      </c>
    </row>
    <row r="47" spans="3:10" ht="21">
      <c r="C47" s="15">
        <v>1</v>
      </c>
      <c r="D47" s="15" t="s">
        <v>91</v>
      </c>
      <c r="E47" s="43">
        <v>29694.21</v>
      </c>
      <c r="F47" s="43">
        <v>14734.21</v>
      </c>
      <c r="G47" s="43">
        <v>17096.64</v>
      </c>
      <c r="H47" s="65">
        <v>25634.72</v>
      </c>
      <c r="I47" s="43">
        <f>F47+G47-H47</f>
        <v>6196.129999999997</v>
      </c>
      <c r="J47" s="157">
        <f>E47-G47</f>
        <v>12597.57</v>
      </c>
    </row>
    <row r="49" spans="4:5" ht="26.25">
      <c r="D49" s="35" t="s">
        <v>106</v>
      </c>
      <c r="E49" s="35"/>
    </row>
    <row r="50" spans="4:5" ht="26.25">
      <c r="D50" s="35" t="s">
        <v>107</v>
      </c>
      <c r="E50" s="35"/>
    </row>
    <row r="52" ht="15">
      <c r="G52" s="132">
        <f>G25+G47</f>
        <v>408286.60000000003</v>
      </c>
    </row>
    <row r="53" ht="15">
      <c r="G53" s="37">
        <v>52908.86</v>
      </c>
    </row>
    <row r="54" ht="15">
      <c r="G54" s="37">
        <v>51703.39</v>
      </c>
    </row>
    <row r="55" ht="15">
      <c r="G55" s="132">
        <f>SUM(G52:G54)</f>
        <v>512898.85000000003</v>
      </c>
    </row>
  </sheetData>
  <sheetProtection/>
  <mergeCells count="19">
    <mergeCell ref="C13:H13"/>
    <mergeCell ref="C18:H18"/>
    <mergeCell ref="C42:C44"/>
    <mergeCell ref="D42:D44"/>
    <mergeCell ref="E38:F38"/>
    <mergeCell ref="C31:H31"/>
    <mergeCell ref="C32:F32"/>
    <mergeCell ref="C33:F33"/>
    <mergeCell ref="C34:H34"/>
    <mergeCell ref="C35:D35"/>
    <mergeCell ref="E39:F39"/>
    <mergeCell ref="E40:F40"/>
    <mergeCell ref="E35:G35"/>
    <mergeCell ref="E36:F36"/>
    <mergeCell ref="E37:F37"/>
    <mergeCell ref="E41:F41"/>
    <mergeCell ref="E42:F42"/>
    <mergeCell ref="E43:F43"/>
    <mergeCell ref="E44:F44"/>
  </mergeCells>
  <printOptions/>
  <pageMargins left="0.25" right="0.25" top="0.75" bottom="0.75" header="0.3" footer="0.3"/>
  <pageSetup horizontalDpi="600" verticalDpi="600" orientation="landscape" paperSize="9" scale="52" r:id="rId2"/>
  <rowBreaks count="1" manualBreakCount="1">
    <brk id="33" min="2" max="9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57"/>
  <sheetViews>
    <sheetView view="pageBreakPreview" zoomScale="73" zoomScaleSheetLayoutView="73" zoomScalePageLayoutView="0" workbookViewId="0" topLeftCell="A41">
      <selection activeCell="A44" sqref="A44:H44"/>
    </sheetView>
  </sheetViews>
  <sheetFormatPr defaultColWidth="9.140625" defaultRowHeight="15"/>
  <cols>
    <col min="1" max="1" width="9.00390625" style="37" customWidth="1"/>
    <col min="2" max="2" width="45.421875" style="37" customWidth="1"/>
    <col min="3" max="3" width="37.8515625" style="37" customWidth="1"/>
    <col min="4" max="4" width="44.421875" style="37" customWidth="1"/>
    <col min="5" max="5" width="29.28125" style="37" customWidth="1"/>
    <col min="6" max="6" width="25.7109375" style="37" customWidth="1"/>
    <col min="7" max="7" width="25.421875" style="37" customWidth="1"/>
    <col min="8" max="8" width="26.8515625" style="37" customWidth="1"/>
    <col min="9" max="9" width="4.7109375" style="37" customWidth="1"/>
    <col min="10" max="10" width="9.140625" style="37" hidden="1" customWidth="1"/>
    <col min="11" max="16384" width="9.140625" style="37" customWidth="1"/>
  </cols>
  <sheetData>
    <row r="1" spans="2:5" s="35" customFormat="1" ht="28.5">
      <c r="B1" s="36" t="s">
        <v>24</v>
      </c>
      <c r="C1" s="36"/>
      <c r="D1" s="36"/>
      <c r="E1" s="36"/>
    </row>
    <row r="2" spans="2:5" s="35" customFormat="1" ht="28.5">
      <c r="B2" s="36" t="s">
        <v>25</v>
      </c>
      <c r="C2" s="36"/>
      <c r="D2" s="36"/>
      <c r="E2" s="36"/>
    </row>
    <row r="3" spans="2:6" ht="18.75">
      <c r="B3" s="38" t="s">
        <v>26</v>
      </c>
      <c r="C3" s="38"/>
      <c r="D3" s="38"/>
      <c r="E3" s="38"/>
      <c r="F3" s="39"/>
    </row>
    <row r="4" spans="2:6" ht="18.75">
      <c r="B4" s="38" t="s">
        <v>27</v>
      </c>
      <c r="C4" s="38"/>
      <c r="D4" s="38"/>
      <c r="E4" s="38"/>
      <c r="F4" s="39"/>
    </row>
    <row r="5" spans="2:6" ht="15">
      <c r="B5" s="39"/>
      <c r="C5" s="39"/>
      <c r="D5" s="39"/>
      <c r="E5" s="39"/>
      <c r="F5" s="39"/>
    </row>
    <row r="6" spans="2:5" s="40" customFormat="1" ht="26.25">
      <c r="B6" s="35" t="s">
        <v>28</v>
      </c>
      <c r="C6" s="35"/>
      <c r="D6" s="35"/>
      <c r="E6" s="35"/>
    </row>
    <row r="7" spans="2:5" s="40" customFormat="1" ht="26.25">
      <c r="B7" s="35" t="s">
        <v>45</v>
      </c>
      <c r="C7" s="35"/>
      <c r="D7" s="35"/>
      <c r="E7" s="35"/>
    </row>
    <row r="8" spans="2:5" s="40" customFormat="1" ht="26.25">
      <c r="B8" s="35" t="s">
        <v>125</v>
      </c>
      <c r="C8" s="35"/>
      <c r="D8" s="35"/>
      <c r="E8" s="35"/>
    </row>
    <row r="9" spans="2:6" ht="15">
      <c r="B9" s="39"/>
      <c r="C9" s="39"/>
      <c r="D9" s="39"/>
      <c r="E9" s="39"/>
      <c r="F9" s="39"/>
    </row>
    <row r="10" spans="1:6" ht="21">
      <c r="A10" s="40" t="s">
        <v>46</v>
      </c>
      <c r="B10" s="39"/>
      <c r="C10" s="39"/>
      <c r="D10" s="39"/>
      <c r="E10" s="39"/>
      <c r="F10" s="39"/>
    </row>
    <row r="11" s="40" customFormat="1" ht="34.5" customHeight="1">
      <c r="F11" s="53" t="s">
        <v>18</v>
      </c>
    </row>
    <row r="12" spans="1:6" s="42" customFormat="1" ht="40.5">
      <c r="A12" s="41" t="s">
        <v>11</v>
      </c>
      <c r="B12" s="41" t="s">
        <v>12</v>
      </c>
      <c r="C12" s="41" t="s">
        <v>114</v>
      </c>
      <c r="D12" s="41" t="s">
        <v>13</v>
      </c>
      <c r="E12" s="41" t="s">
        <v>14</v>
      </c>
      <c r="F12" s="41" t="s">
        <v>10</v>
      </c>
    </row>
    <row r="13" spans="1:6" s="40" customFormat="1" ht="21">
      <c r="A13" s="181" t="s">
        <v>15</v>
      </c>
      <c r="B13" s="182"/>
      <c r="C13" s="182"/>
      <c r="D13" s="182"/>
      <c r="E13" s="182"/>
      <c r="F13" s="183"/>
    </row>
    <row r="14" spans="1:6" s="40" customFormat="1" ht="21">
      <c r="A14" s="15">
        <v>1</v>
      </c>
      <c r="B14" s="15" t="s">
        <v>16</v>
      </c>
      <c r="C14" s="43">
        <v>10600.78</v>
      </c>
      <c r="D14" s="43">
        <v>80425.76</v>
      </c>
      <c r="E14" s="43">
        <v>56445.81</v>
      </c>
      <c r="F14" s="43">
        <f>C14+D14-E14</f>
        <v>34580.729999999996</v>
      </c>
    </row>
    <row r="15" spans="1:6" s="40" customFormat="1" ht="21">
      <c r="A15" s="15">
        <v>2</v>
      </c>
      <c r="B15" s="15" t="s">
        <v>17</v>
      </c>
      <c r="C15" s="43">
        <v>-6923.22</v>
      </c>
      <c r="D15" s="43">
        <v>18414.24</v>
      </c>
      <c r="E15" s="43">
        <v>15716.64</v>
      </c>
      <c r="F15" s="43">
        <f>C15+D15-E15</f>
        <v>-4225.619999999999</v>
      </c>
    </row>
    <row r="16" spans="1:6" s="40" customFormat="1" ht="21" hidden="1">
      <c r="A16" s="15"/>
      <c r="B16" s="15" t="s">
        <v>116</v>
      </c>
      <c r="C16" s="43"/>
      <c r="D16" s="43"/>
      <c r="E16" s="43"/>
      <c r="F16" s="43">
        <f>C16+D16-E16</f>
        <v>0</v>
      </c>
    </row>
    <row r="17" spans="1:6" s="40" customFormat="1" ht="21">
      <c r="A17" s="15">
        <v>3</v>
      </c>
      <c r="B17" s="15" t="s">
        <v>87</v>
      </c>
      <c r="C17" s="43"/>
      <c r="D17" s="43">
        <v>4375</v>
      </c>
      <c r="E17" s="43">
        <v>2504.12</v>
      </c>
      <c r="F17" s="43">
        <f>C17+D17-E17</f>
        <v>1870.88</v>
      </c>
    </row>
    <row r="18" spans="1:6" s="40" customFormat="1" ht="39.75" customHeight="1">
      <c r="A18" s="15"/>
      <c r="B18" s="44" t="s">
        <v>0</v>
      </c>
      <c r="C18" s="45">
        <f>SUM(C14:C17)</f>
        <v>3677.5600000000004</v>
      </c>
      <c r="D18" s="45">
        <f>SUM(D14:D17)</f>
        <v>103215</v>
      </c>
      <c r="E18" s="45">
        <f>SUM(E14:E17)</f>
        <v>74666.56999999999</v>
      </c>
      <c r="F18" s="45">
        <f>SUM(F14:F17)</f>
        <v>32225.989999999998</v>
      </c>
    </row>
    <row r="19" spans="1:6" s="40" customFormat="1" ht="21">
      <c r="A19" s="181" t="s">
        <v>19</v>
      </c>
      <c r="B19" s="182"/>
      <c r="C19" s="182"/>
      <c r="D19" s="182"/>
      <c r="E19" s="182"/>
      <c r="F19" s="183"/>
    </row>
    <row r="20" spans="1:6" s="40" customFormat="1" ht="21">
      <c r="A20" s="15">
        <v>3</v>
      </c>
      <c r="B20" s="15" t="s">
        <v>1</v>
      </c>
      <c r="C20" s="43">
        <v>50978.88</v>
      </c>
      <c r="D20" s="47">
        <v>265117.91</v>
      </c>
      <c r="E20" s="47">
        <v>196743.31</v>
      </c>
      <c r="F20" s="47">
        <f>C20+D20-E20</f>
        <v>119353.47999999998</v>
      </c>
    </row>
    <row r="21" spans="1:6" s="40" customFormat="1" ht="21">
      <c r="A21" s="15">
        <v>4</v>
      </c>
      <c r="B21" s="48" t="s">
        <v>2</v>
      </c>
      <c r="C21" s="49">
        <v>6111.81</v>
      </c>
      <c r="D21" s="47">
        <v>35962.57</v>
      </c>
      <c r="E21" s="47">
        <v>31598.32</v>
      </c>
      <c r="F21" s="47">
        <f>C21+D21-E21</f>
        <v>10476.059999999998</v>
      </c>
    </row>
    <row r="22" spans="1:6" s="40" customFormat="1" ht="21">
      <c r="A22" s="15">
        <v>5</v>
      </c>
      <c r="B22" s="48" t="s">
        <v>3</v>
      </c>
      <c r="C22" s="49">
        <v>3793.53</v>
      </c>
      <c r="D22" s="47">
        <v>21607.25</v>
      </c>
      <c r="E22" s="47">
        <v>19200.27</v>
      </c>
      <c r="F22" s="47">
        <f>C22+D22-E22</f>
        <v>6200.509999999998</v>
      </c>
    </row>
    <row r="23" spans="1:6" s="40" customFormat="1" ht="41.25">
      <c r="A23" s="15"/>
      <c r="B23" s="44" t="s">
        <v>5</v>
      </c>
      <c r="C23" s="45">
        <f>SUM(C20:C22)</f>
        <v>60884.219999999994</v>
      </c>
      <c r="D23" s="45">
        <f>SUM(D20:D22)</f>
        <v>322687.73</v>
      </c>
      <c r="E23" s="45">
        <f>SUM(E20:E22)</f>
        <v>247541.9</v>
      </c>
      <c r="F23" s="45">
        <f>SUM(F20:F22)</f>
        <v>136030.05</v>
      </c>
    </row>
    <row r="24" spans="1:6" s="40" customFormat="1" ht="41.25">
      <c r="A24" s="15"/>
      <c r="B24" s="44" t="s">
        <v>6</v>
      </c>
      <c r="C24" s="45">
        <f>C18+C23</f>
        <v>64561.77999999999</v>
      </c>
      <c r="D24" s="45">
        <f>D18+D23</f>
        <v>425902.73</v>
      </c>
      <c r="E24" s="45">
        <f>E18+E23</f>
        <v>322208.47</v>
      </c>
      <c r="F24" s="45">
        <f>F18+F23</f>
        <v>168256.03999999998</v>
      </c>
    </row>
    <row r="25" spans="1:7" s="40" customFormat="1" ht="21">
      <c r="A25" s="50"/>
      <c r="B25" s="51"/>
      <c r="C25" s="51"/>
      <c r="D25" s="52"/>
      <c r="E25" s="52"/>
      <c r="F25" s="52"/>
      <c r="G25" s="78"/>
    </row>
    <row r="26" spans="1:6" s="40" customFormat="1" ht="21">
      <c r="A26" s="50"/>
      <c r="B26" s="51"/>
      <c r="C26" s="51"/>
      <c r="D26" s="52"/>
      <c r="E26" s="52"/>
      <c r="F26" s="52"/>
    </row>
    <row r="27" spans="5:6" s="40" customFormat="1" ht="21">
      <c r="E27" s="53"/>
      <c r="F27" s="53" t="s">
        <v>20</v>
      </c>
    </row>
    <row r="28" spans="1:6" s="40" customFormat="1" ht="25.5">
      <c r="A28" s="170" t="s">
        <v>120</v>
      </c>
      <c r="B28" s="171"/>
      <c r="C28" s="171"/>
      <c r="D28" s="171"/>
      <c r="E28" s="171"/>
      <c r="F28" s="172"/>
    </row>
    <row r="29" spans="1:6" s="40" customFormat="1" ht="63">
      <c r="A29" s="184" t="s">
        <v>121</v>
      </c>
      <c r="B29" s="185"/>
      <c r="C29" s="185"/>
      <c r="D29" s="186"/>
      <c r="E29" s="41" t="s">
        <v>21</v>
      </c>
      <c r="F29" s="54" t="s">
        <v>126</v>
      </c>
    </row>
    <row r="30" spans="1:6" s="40" customFormat="1" ht="171" customHeight="1">
      <c r="A30" s="201" t="s">
        <v>123</v>
      </c>
      <c r="B30" s="202"/>
      <c r="C30" s="202"/>
      <c r="D30" s="203"/>
      <c r="E30" s="57">
        <f>D14</f>
        <v>80425.76</v>
      </c>
      <c r="F30" s="57">
        <f>F14</f>
        <v>34580.729999999996</v>
      </c>
    </row>
    <row r="31" spans="1:6" s="40" customFormat="1" ht="25.5">
      <c r="A31" s="170" t="s">
        <v>119</v>
      </c>
      <c r="B31" s="171"/>
      <c r="C31" s="171"/>
      <c r="D31" s="171"/>
      <c r="E31" s="171"/>
      <c r="F31" s="172"/>
    </row>
    <row r="32" spans="1:6" s="40" customFormat="1" ht="105">
      <c r="A32" s="196" t="s">
        <v>132</v>
      </c>
      <c r="B32" s="197"/>
      <c r="C32" s="178" t="s">
        <v>121</v>
      </c>
      <c r="D32" s="179"/>
      <c r="E32" s="180"/>
      <c r="F32" s="89" t="s">
        <v>128</v>
      </c>
    </row>
    <row r="33" spans="1:6" s="40" customFormat="1" ht="21">
      <c r="A33" s="103"/>
      <c r="B33" s="104">
        <v>-37624.12</v>
      </c>
      <c r="C33" s="234" t="s">
        <v>105</v>
      </c>
      <c r="D33" s="192"/>
      <c r="E33" s="49">
        <f>15000+187.5+312.5+750+3429+80+234.11+118+135+45+4860+1116+1060+62+400+500+300</f>
        <v>28589.11</v>
      </c>
      <c r="F33" s="43"/>
    </row>
    <row r="34" spans="1:6" s="40" customFormat="1" ht="21">
      <c r="A34" s="98"/>
      <c r="B34" s="105"/>
      <c r="C34" s="234"/>
      <c r="D34" s="192"/>
      <c r="E34" s="49"/>
      <c r="F34" s="43"/>
    </row>
    <row r="35" spans="1:6" s="40" customFormat="1" ht="21">
      <c r="A35" s="98"/>
      <c r="B35" s="105"/>
      <c r="C35" s="234"/>
      <c r="D35" s="192"/>
      <c r="E35" s="49"/>
      <c r="F35" s="43"/>
    </row>
    <row r="36" spans="1:6" s="40" customFormat="1" ht="21">
      <c r="A36" s="98"/>
      <c r="B36" s="105"/>
      <c r="C36" s="191"/>
      <c r="D36" s="192"/>
      <c r="E36" s="49"/>
      <c r="F36" s="43"/>
    </row>
    <row r="37" spans="1:6" s="40" customFormat="1" ht="21">
      <c r="A37" s="98"/>
      <c r="B37" s="106"/>
      <c r="C37" s="208" t="s">
        <v>140</v>
      </c>
      <c r="D37" s="206"/>
      <c r="E37" s="68">
        <f>SUM(E33:E36)</f>
        <v>28589.11</v>
      </c>
      <c r="F37" s="76">
        <f>E15-E37</f>
        <v>-12872.470000000001</v>
      </c>
    </row>
    <row r="38" spans="1:6" s="40" customFormat="1" ht="21">
      <c r="A38" s="99"/>
      <c r="B38" s="107"/>
      <c r="C38" s="213" t="s">
        <v>109</v>
      </c>
      <c r="D38" s="160"/>
      <c r="E38" s="68"/>
      <c r="F38" s="76">
        <f>B33+F37</f>
        <v>-50496.590000000004</v>
      </c>
    </row>
    <row r="39" spans="1:6" s="40" customFormat="1" ht="21">
      <c r="A39" s="96">
        <v>3</v>
      </c>
      <c r="B39" s="94" t="s">
        <v>22</v>
      </c>
      <c r="C39" s="232"/>
      <c r="D39" s="233"/>
      <c r="E39" s="58"/>
      <c r="F39" s="15"/>
    </row>
    <row r="40" spans="1:6" s="40" customFormat="1" ht="21">
      <c r="A40" s="193"/>
      <c r="B40" s="194"/>
      <c r="C40" s="204"/>
      <c r="D40" s="204"/>
      <c r="E40" s="58"/>
      <c r="F40" s="15"/>
    </row>
    <row r="41" spans="1:6" s="40" customFormat="1" ht="21">
      <c r="A41" s="194"/>
      <c r="B41" s="194"/>
      <c r="C41" s="204"/>
      <c r="D41" s="204"/>
      <c r="E41" s="58"/>
      <c r="F41" s="15"/>
    </row>
    <row r="42" spans="1:6" s="40" customFormat="1" ht="21">
      <c r="A42" s="194"/>
      <c r="B42" s="194"/>
      <c r="C42" s="164"/>
      <c r="D42" s="164"/>
      <c r="E42" s="58"/>
      <c r="F42" s="15"/>
    </row>
    <row r="43" spans="1:6" s="40" customFormat="1" ht="21">
      <c r="A43" s="79"/>
      <c r="B43" s="79"/>
      <c r="C43" s="79"/>
      <c r="D43" s="80"/>
      <c r="E43" s="77"/>
      <c r="F43" s="81" t="s">
        <v>47</v>
      </c>
    </row>
    <row r="44" spans="1:8" s="40" customFormat="1" ht="87" customHeight="1">
      <c r="A44" s="41" t="s">
        <v>11</v>
      </c>
      <c r="B44" s="41" t="s">
        <v>50</v>
      </c>
      <c r="C44" s="41" t="s">
        <v>113</v>
      </c>
      <c r="D44" s="41" t="s">
        <v>114</v>
      </c>
      <c r="E44" s="41" t="s">
        <v>167</v>
      </c>
      <c r="F44" s="41" t="s">
        <v>130</v>
      </c>
      <c r="G44" s="41" t="s">
        <v>168</v>
      </c>
      <c r="H44" s="41" t="s">
        <v>115</v>
      </c>
    </row>
    <row r="45" spans="1:8" s="64" customFormat="1" ht="21">
      <c r="A45" s="15"/>
      <c r="B45" s="15" t="s">
        <v>95</v>
      </c>
      <c r="C45" s="43">
        <v>374.65</v>
      </c>
      <c r="D45" s="43">
        <v>5832.96</v>
      </c>
      <c r="E45" s="43">
        <v>-9439.04</v>
      </c>
      <c r="F45" s="43">
        <v>3705.65</v>
      </c>
      <c r="G45" s="43">
        <f>D45+E45-F45</f>
        <v>-7311.730000000001</v>
      </c>
      <c r="H45" s="43"/>
    </row>
    <row r="46" spans="1:8" s="64" customFormat="1" ht="21">
      <c r="A46" s="50"/>
      <c r="B46" s="50"/>
      <c r="C46" s="138"/>
      <c r="D46" s="138"/>
      <c r="E46" s="138"/>
      <c r="F46" s="138"/>
      <c r="G46" s="133"/>
      <c r="H46" s="138"/>
    </row>
    <row r="47" spans="1:8" s="64" customFormat="1" ht="21">
      <c r="A47" s="50"/>
      <c r="B47" s="50"/>
      <c r="C47" s="138"/>
      <c r="D47" s="138"/>
      <c r="E47" s="138"/>
      <c r="F47" s="138"/>
      <c r="G47" s="133"/>
      <c r="H47" s="138"/>
    </row>
    <row r="48" spans="1:8" s="64" customFormat="1" ht="41.25">
      <c r="A48" s="41" t="s">
        <v>11</v>
      </c>
      <c r="B48" s="41" t="s">
        <v>50</v>
      </c>
      <c r="C48" s="41" t="s">
        <v>48</v>
      </c>
      <c r="D48" s="41" t="s">
        <v>129</v>
      </c>
      <c r="E48" s="41" t="s">
        <v>130</v>
      </c>
      <c r="F48" s="41" t="s">
        <v>168</v>
      </c>
      <c r="G48" s="41" t="s">
        <v>115</v>
      </c>
      <c r="H48" s="138"/>
    </row>
    <row r="49" spans="1:8" s="64" customFormat="1" ht="21">
      <c r="A49" s="139"/>
      <c r="B49" s="139" t="s">
        <v>100</v>
      </c>
      <c r="C49" s="140">
        <v>38691</v>
      </c>
      <c r="D49" s="140">
        <v>30903.4</v>
      </c>
      <c r="E49" s="140">
        <v>15045.97</v>
      </c>
      <c r="F49" s="140">
        <f>D49-E49</f>
        <v>15857.430000000002</v>
      </c>
      <c r="G49" s="43">
        <f>C49-D49</f>
        <v>7787.5999999999985</v>
      </c>
      <c r="H49" s="138"/>
    </row>
    <row r="50" spans="7:8" ht="15">
      <c r="G50" s="64"/>
      <c r="H50" s="64"/>
    </row>
    <row r="51" spans="2:8" ht="26.25">
      <c r="B51" s="35" t="s">
        <v>106</v>
      </c>
      <c r="C51" s="35"/>
      <c r="H51" s="64"/>
    </row>
    <row r="52" spans="2:3" ht="26.25">
      <c r="B52" s="35" t="s">
        <v>107</v>
      </c>
      <c r="C52" s="35"/>
    </row>
    <row r="54" ht="15">
      <c r="E54" s="132">
        <f>E24+F45+E49</f>
        <v>340960.08999999997</v>
      </c>
    </row>
    <row r="55" ht="15">
      <c r="E55" s="37">
        <v>37655.4</v>
      </c>
    </row>
    <row r="56" ht="15">
      <c r="E56" s="37">
        <v>48627.08</v>
      </c>
    </row>
    <row r="57" ht="15">
      <c r="E57" s="132">
        <f>SUM(E54:E56)</f>
        <v>427242.57</v>
      </c>
    </row>
  </sheetData>
  <sheetProtection/>
  <mergeCells count="20">
    <mergeCell ref="A13:F13"/>
    <mergeCell ref="A19:F19"/>
    <mergeCell ref="A40:A42"/>
    <mergeCell ref="B40:B42"/>
    <mergeCell ref="C35:D35"/>
    <mergeCell ref="A28:F28"/>
    <mergeCell ref="A29:D29"/>
    <mergeCell ref="A30:D30"/>
    <mergeCell ref="A31:F31"/>
    <mergeCell ref="A32:B32"/>
    <mergeCell ref="C38:D38"/>
    <mergeCell ref="C36:D36"/>
    <mergeCell ref="C32:E32"/>
    <mergeCell ref="C33:D33"/>
    <mergeCell ref="C34:D34"/>
    <mergeCell ref="C37:D37"/>
    <mergeCell ref="C39:D39"/>
    <mergeCell ref="C40:D40"/>
    <mergeCell ref="C41:D41"/>
    <mergeCell ref="C42:D42"/>
  </mergeCells>
  <printOptions/>
  <pageMargins left="0.25" right="0.25" top="0.75" bottom="0.75" header="0.3" footer="0.3"/>
  <pageSetup horizontalDpi="600" verticalDpi="600" orientation="landscape" paperSize="9" scale="53" r:id="rId2"/>
  <rowBreaks count="1" manualBreakCount="1">
    <brk id="30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2015-04-06T07:45:32Z</cp:lastPrinted>
  <dcterms:created xsi:type="dcterms:W3CDTF">2006-09-16T00:00:00Z</dcterms:created>
  <dcterms:modified xsi:type="dcterms:W3CDTF">2015-04-21T06:49:22Z</dcterms:modified>
  <cp:category/>
  <cp:version/>
  <cp:contentType/>
  <cp:contentStatus/>
</cp:coreProperties>
</file>