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ысотная, 1" sheetId="1" r:id="rId1"/>
    <sheet name="Высотная, 2" sheetId="2" r:id="rId2"/>
    <sheet name="Высотная, 3" sheetId="3" r:id="rId3"/>
    <sheet name="Высотная, 4" sheetId="4" r:id="rId4"/>
    <sheet name="Северная, 1" sheetId="5" r:id="rId5"/>
    <sheet name="Северная, 2" sheetId="6" r:id="rId6"/>
    <sheet name="Северная, 3" sheetId="7" r:id="rId7"/>
    <sheet name="Северная, 12" sheetId="8" r:id="rId8"/>
    <sheet name="Северная, 13" sheetId="9" r:id="rId9"/>
    <sheet name="Северная, 14" sheetId="10" r:id="rId10"/>
    <sheet name="Северная, 16" sheetId="11" r:id="rId11"/>
    <sheet name="Северная, 15" sheetId="12" r:id="rId12"/>
    <sheet name="Западная, 9 а" sheetId="13" r:id="rId13"/>
    <sheet name="Северная, 17" sheetId="14" r:id="rId14"/>
    <sheet name="Западная, 10" sheetId="15" r:id="rId15"/>
    <sheet name="Западная, 11" sheetId="16" r:id="rId16"/>
    <sheet name="Западная, 12" sheetId="17" r:id="rId17"/>
    <sheet name="Западная, 13" sheetId="18" r:id="rId18"/>
    <sheet name="Западная, 14" sheetId="19" r:id="rId19"/>
    <sheet name="Западная, 15" sheetId="20" r:id="rId20"/>
    <sheet name="Западная, 16" sheetId="21" r:id="rId21"/>
    <sheet name="Мостовая, 16" sheetId="22" r:id="rId22"/>
    <sheet name="Мостовая, 18" sheetId="23" r:id="rId23"/>
    <sheet name="Мостовая, 20" sheetId="24" r:id="rId24"/>
    <sheet name="Центральная, 15" sheetId="25" r:id="rId25"/>
    <sheet name="Центральная, 17" sheetId="26" r:id="rId26"/>
    <sheet name="Центральная, 19" sheetId="27" r:id="rId27"/>
    <sheet name="Мостовая 28" sheetId="28" r:id="rId28"/>
  </sheets>
  <definedNames>
    <definedName name="_xlnm.Print_Area" localSheetId="0">'Высотная, 1'!$C$1:$J$65</definedName>
    <definedName name="_xlnm.Print_Area" localSheetId="1">'Высотная, 2'!$A$1:$F$69</definedName>
    <definedName name="_xlnm.Print_Area" localSheetId="2">'Высотная, 3'!$C$1:$H$57</definedName>
    <definedName name="_xlnm.Print_Area" localSheetId="3">'Высотная, 4'!$C$1:$H$55</definedName>
    <definedName name="_xlnm.Print_Area" localSheetId="14">'Западная, 10'!$C$1:$H$44</definedName>
    <definedName name="_xlnm.Print_Area" localSheetId="15">'Западная, 11'!$C$1:$H$50</definedName>
    <definedName name="_xlnm.Print_Area" localSheetId="16">'Западная, 12'!$C$1:$J$46</definedName>
    <definedName name="_xlnm.Print_Area" localSheetId="17">'Западная, 13'!$A$1:$I$61</definedName>
    <definedName name="_xlnm.Print_Area" localSheetId="18">'Западная, 14'!$C$1:$K$50</definedName>
    <definedName name="_xlnm.Print_Area" localSheetId="19">'Западная, 15'!$C$1:$J$57</definedName>
    <definedName name="_xlnm.Print_Area" localSheetId="20">'Западная, 16'!$C$1:$H$51</definedName>
    <definedName name="_xlnm.Print_Area" localSheetId="12">'Западная, 9 а'!$C$1:$H$46</definedName>
    <definedName name="_xlnm.Print_Area" localSheetId="27">'Мостовая 28'!$C$1:$I$58</definedName>
    <definedName name="_xlnm.Print_Area" localSheetId="21">'Мостовая, 16'!$C$1:$H$53</definedName>
    <definedName name="_xlnm.Print_Area" localSheetId="22">'Мостовая, 18'!$C$1:$J$59</definedName>
    <definedName name="_xlnm.Print_Area" localSheetId="23">'Мостовая, 20'!$C$1:$H$50</definedName>
    <definedName name="_xlnm.Print_Area" localSheetId="4">'Северная, 1'!$C$1:$H$51</definedName>
    <definedName name="_xlnm.Print_Area" localSheetId="7">'Северная, 12'!$C$1:$I$56</definedName>
    <definedName name="_xlnm.Print_Area" localSheetId="8">'Северная, 13'!$A$1:$J$50</definedName>
    <definedName name="_xlnm.Print_Area" localSheetId="9">'Северная, 14'!$A$1:$J$52</definedName>
    <definedName name="_xlnm.Print_Area" localSheetId="11">'Северная, 15'!$C$1:$H$45</definedName>
    <definedName name="_xlnm.Print_Area" localSheetId="10">'Северная, 16'!$C$1:$H$48</definedName>
    <definedName name="_xlnm.Print_Area" localSheetId="13">'Северная, 17'!$C$1:$J$50</definedName>
    <definedName name="_xlnm.Print_Area" localSheetId="6">'Северная, 3'!$C$1:$H$46</definedName>
    <definedName name="_xlnm.Print_Area" localSheetId="24">'Центральная, 15'!$C$1:$J$53</definedName>
    <definedName name="_xlnm.Print_Area" localSheetId="25">'Центральная, 17'!$C$1:$H$48</definedName>
    <definedName name="_xlnm.Print_Area" localSheetId="26">'Центральная, 19'!$C$1:$H$45</definedName>
  </definedNames>
  <calcPr fullCalcOnLoad="1"/>
</workbook>
</file>

<file path=xl/sharedStrings.xml><?xml version="1.0" encoding="utf-8"?>
<sst xmlns="http://schemas.openxmlformats.org/spreadsheetml/2006/main" count="1501" uniqueCount="274">
  <si>
    <t>Итого по жилищным услугам</t>
  </si>
  <si>
    <t>отопление</t>
  </si>
  <si>
    <t>холодное водоснабжение</t>
  </si>
  <si>
    <t>водоотведение</t>
  </si>
  <si>
    <t>Электроэнергия ( в т.ч. МОП)</t>
  </si>
  <si>
    <t>Итого по коммунальным услугам</t>
  </si>
  <si>
    <t>Всего по жилищно-коммунальным услугам</t>
  </si>
  <si>
    <t>горячее водоснабжение</t>
  </si>
  <si>
    <t>Площадь помещений в доме 363,73 кв.м.</t>
  </si>
  <si>
    <t>Площадь помещений в доме 351,35 кв.м.</t>
  </si>
  <si>
    <t>ремонт отмостки</t>
  </si>
  <si>
    <t>задолженность населения</t>
  </si>
  <si>
    <t>ремонт системы ГВС</t>
  </si>
  <si>
    <t>№</t>
  </si>
  <si>
    <t>услуга</t>
  </si>
  <si>
    <t>начисленно</t>
  </si>
  <si>
    <t>собрано</t>
  </si>
  <si>
    <t>жилищные услуги</t>
  </si>
  <si>
    <t>содержание</t>
  </si>
  <si>
    <t>текущий ремонт</t>
  </si>
  <si>
    <t>таблица 1</t>
  </si>
  <si>
    <t>коммунальные услуги</t>
  </si>
  <si>
    <t>таблица 2</t>
  </si>
  <si>
    <t>сумма выполненных работ</t>
  </si>
  <si>
    <t>запланированные работы</t>
  </si>
  <si>
    <t>Площадь помещений в доме 4778,91</t>
  </si>
  <si>
    <t xml:space="preserve">                                       Муниципальное унитарное предприятие</t>
  </si>
  <si>
    <t xml:space="preserve">                "Управляющая компания в жилищно-коммунальном хозяйстве"</t>
  </si>
  <si>
    <t xml:space="preserve">                   427000, УР, Завьяловский район, д. Пирогово, ул. Северная, 18, ИНН/КПП 1841027115/184101001</t>
  </si>
  <si>
    <t xml:space="preserve">                           ОГРН 1121841004955, р/сч 40702810468000000807, в Удм.отд № 8618 Сбербанка России</t>
  </si>
  <si>
    <t xml:space="preserve">                           Отчет МУП "УК в ЖКХ" перед собственниками дома по адресу:</t>
  </si>
  <si>
    <t xml:space="preserve">                                                    д. Пирогово, ул. Высотная, 1</t>
  </si>
  <si>
    <t>Площадь помещений в доме 4311,85</t>
  </si>
  <si>
    <t>ремонт системы отопления</t>
  </si>
  <si>
    <t xml:space="preserve">                                                    д. Пирогово, ул. Высотная, 3</t>
  </si>
  <si>
    <t xml:space="preserve">                                                    д. Пирогово, ул. Высотная,2</t>
  </si>
  <si>
    <t>Площадь помещений в доме 1348,77</t>
  </si>
  <si>
    <t xml:space="preserve">                                                    д. Пирогово, ул. Высотная, 4</t>
  </si>
  <si>
    <t>Площадь помещений в доме 3416,57</t>
  </si>
  <si>
    <t>ремонт системы ХВС</t>
  </si>
  <si>
    <t>ремонт входных групп</t>
  </si>
  <si>
    <t xml:space="preserve">                                                    д. Пирогово, ул. Северная, 1</t>
  </si>
  <si>
    <t>Площадь помещений в доме 438,02</t>
  </si>
  <si>
    <t xml:space="preserve">                                                    д. Пирогово, ул. Северная, 2</t>
  </si>
  <si>
    <t>Площадь помещений в доме 391,51</t>
  </si>
  <si>
    <t>установка почтовых ящиков</t>
  </si>
  <si>
    <t xml:space="preserve">                                                    д. Пирогово, ул. Северная, 3</t>
  </si>
  <si>
    <t>Площадь помещений в доме  387,50</t>
  </si>
  <si>
    <t xml:space="preserve">                                                    д. Пирогово, ул. Северная, 12</t>
  </si>
  <si>
    <t>Площадь помещений в доме  711,77 кв.м.</t>
  </si>
  <si>
    <t xml:space="preserve">                                                    д. Пирогово, ул. Северная, 13</t>
  </si>
  <si>
    <t>Площадь помещений в доме 613,71 кв.м.</t>
  </si>
  <si>
    <t>таблица 3</t>
  </si>
  <si>
    <t>стоимость работы</t>
  </si>
  <si>
    <t>остаток по стоимости работ</t>
  </si>
  <si>
    <t xml:space="preserve">Выполненный вид работы по строке "цевой сбор" </t>
  </si>
  <si>
    <t xml:space="preserve">                                                    д. Пирогово, ул. Северная, 14</t>
  </si>
  <si>
    <t>Площадь помещений в доме 732,45кв.м.</t>
  </si>
  <si>
    <t xml:space="preserve">                                                    д. Пирогово, ул. Северная, 16</t>
  </si>
  <si>
    <t>Площадь помещений в доме 721,55 кв.м.</t>
  </si>
  <si>
    <t xml:space="preserve">                                                    д. Пирогово, ул. Северная, 15</t>
  </si>
  <si>
    <t>Площадь помещений в доме 648,23 кв.м.</t>
  </si>
  <si>
    <t xml:space="preserve">                                                    д. Пирогово, ул. Западная, 9а</t>
  </si>
  <si>
    <t>Площадь помещений в доме 887,08 кв.м.</t>
  </si>
  <si>
    <t xml:space="preserve">                                                    д. Пирогово, ул. Северная, 17</t>
  </si>
  <si>
    <t>Площадь помещений в доме722,05 кв.м.</t>
  </si>
  <si>
    <t xml:space="preserve">                                                    д. Пирогово, ул. Западная, 10</t>
  </si>
  <si>
    <t>Площадь помещений в доме 374,12кв.м.</t>
  </si>
  <si>
    <t xml:space="preserve">                                                    д. Пирогово, ул. Западная, 11</t>
  </si>
  <si>
    <t>Площадь помещений в доме 712,55 кв.м.</t>
  </si>
  <si>
    <t xml:space="preserve">                                                    д. Пирогово, ул. Западная, 12</t>
  </si>
  <si>
    <t>Площадь помещений в доме 712,93кв.м.</t>
  </si>
  <si>
    <t xml:space="preserve">                                                    д. Пирогово, ул. Западная, 13</t>
  </si>
  <si>
    <t>Площадь помещений в доме 653,1кв.м.</t>
  </si>
  <si>
    <t xml:space="preserve">                                                    д. Пирогово, ул. Западная, 14</t>
  </si>
  <si>
    <t>Площадь помещений в доме 382,81 кв.м.</t>
  </si>
  <si>
    <t xml:space="preserve">                                                    д. Пирогово, ул. Западная, 15</t>
  </si>
  <si>
    <t>Площадь помещений в доме 542,53кв.м.</t>
  </si>
  <si>
    <t xml:space="preserve">                                                    д. Пирогово, ул. Западная, 16</t>
  </si>
  <si>
    <t>Площадь помещений в доме  729,32 кв.м.</t>
  </si>
  <si>
    <t xml:space="preserve">                                                    д. Пирогово, ул. Мостовая, 16</t>
  </si>
  <si>
    <t>Площадь помещений в доме 1731,88 кв.м.</t>
  </si>
  <si>
    <t>вывоз ЖБО</t>
  </si>
  <si>
    <t>осушение подвала</t>
  </si>
  <si>
    <t xml:space="preserve">                                                    д. Пирогово, ул. Мостовая, 20</t>
  </si>
  <si>
    <t>Площадь помещений в доме 860,8 кв.м.</t>
  </si>
  <si>
    <t xml:space="preserve">                                                  д. Шудья, ул. Центральная, 15</t>
  </si>
  <si>
    <t xml:space="preserve">                                                  д. Шудья, ул. Центральная, 19</t>
  </si>
  <si>
    <t xml:space="preserve">                                                  д. Шудья, ул. Центральная, 17</t>
  </si>
  <si>
    <t>Площадь помещений в доме 772,14кв.м.</t>
  </si>
  <si>
    <t xml:space="preserve">                                                    с 01.01.2013 по 31.12.2013 гг.</t>
  </si>
  <si>
    <t>ремонт отопления кв.7</t>
  </si>
  <si>
    <t>ремонт отмостки кв.2</t>
  </si>
  <si>
    <t>покраска газопровода</t>
  </si>
  <si>
    <t>Покраска газопровода</t>
  </si>
  <si>
    <t>ремонт хвс кв.20</t>
  </si>
  <si>
    <t>ремонт хвс кв.25</t>
  </si>
  <si>
    <t>ремонт хвс кв. 35</t>
  </si>
  <si>
    <t>замена стекол в подъезде</t>
  </si>
  <si>
    <t>замена счетчика отопления и гвс</t>
  </si>
  <si>
    <t>установка урн у подъездов</t>
  </si>
  <si>
    <t>установка скамейки на детской площадки</t>
  </si>
  <si>
    <t>благоустройство детской площадки</t>
  </si>
  <si>
    <t>замена эл.счетчиков кв.38,1,3,27,37,24,22,31,12</t>
  </si>
  <si>
    <t>изготовление и ограждение площадки тбо</t>
  </si>
  <si>
    <t>работы по ремонту расходомера</t>
  </si>
  <si>
    <t>изготовление опалубки для отмостки</t>
  </si>
  <si>
    <t>ремонт межпанельных швов</t>
  </si>
  <si>
    <t>доставка отгрузка чернозема</t>
  </si>
  <si>
    <t>Вывз крупногобаритного мусора</t>
  </si>
  <si>
    <t>ремонт мягкойй кровли</t>
  </si>
  <si>
    <t>замена эл.освещения в подъезде</t>
  </si>
  <si>
    <t>ремонт хвс кв.26</t>
  </si>
  <si>
    <t>уборка КГМ</t>
  </si>
  <si>
    <t>доставка чернозема</t>
  </si>
  <si>
    <t xml:space="preserve">ремонт хвс </t>
  </si>
  <si>
    <t>замена эл.счетчика</t>
  </si>
  <si>
    <t>замена эл.счетчика кв 25</t>
  </si>
  <si>
    <t>ограждение площадки тбо</t>
  </si>
  <si>
    <t>ремонт мягкой кровли</t>
  </si>
  <si>
    <t>ремонт ГВС кв.51</t>
  </si>
  <si>
    <t>ремонт ливневой канализации</t>
  </si>
  <si>
    <t>ремонт ГВС кв.59</t>
  </si>
  <si>
    <t>ремонт ГВС кв.61</t>
  </si>
  <si>
    <t>вывоз КГМ</t>
  </si>
  <si>
    <t>ограждение площадки ТБО</t>
  </si>
  <si>
    <t>ремонт ХВС и ГВС кв.35</t>
  </si>
  <si>
    <t>сварочные работы по ГВС</t>
  </si>
  <si>
    <t>ремонт системы отопления кв. 14</t>
  </si>
  <si>
    <t>покраска газпровода</t>
  </si>
  <si>
    <t>замена радиаторов кв.7</t>
  </si>
  <si>
    <t>ремонт хвс</t>
  </si>
  <si>
    <t>сварочные работы</t>
  </si>
  <si>
    <t>ремонт хвс кв.9</t>
  </si>
  <si>
    <t xml:space="preserve">ремонт системы отопления </t>
  </si>
  <si>
    <t>покраска решеток</t>
  </si>
  <si>
    <t>благоустройство детских площадок</t>
  </si>
  <si>
    <t>ремонт системы отопления  кв.8</t>
  </si>
  <si>
    <t>замена смиесителей на кухне</t>
  </si>
  <si>
    <t>ремонт системы отопления и ГВС</t>
  </si>
  <si>
    <t>ремонт ГВс кв.33</t>
  </si>
  <si>
    <t>ремонт эл.снабжения МОП</t>
  </si>
  <si>
    <t>ремонт системы отопления кв.25</t>
  </si>
  <si>
    <t>Уборка КГМ</t>
  </si>
  <si>
    <t>ремонт доводчика</t>
  </si>
  <si>
    <t>установка циркуляционного насоса на систему отопления</t>
  </si>
  <si>
    <t>замена радиаторов отоплени кв.15</t>
  </si>
  <si>
    <t>ремонт входной группы в подвале</t>
  </si>
  <si>
    <t>ремонт канализации кв.8</t>
  </si>
  <si>
    <t>ремонт системы ГВС кв.16</t>
  </si>
  <si>
    <t>ремонт ХВС кв.12</t>
  </si>
  <si>
    <t>реконструкция площадки ТБО</t>
  </si>
  <si>
    <t xml:space="preserve">                                                    д. Пирогово, ул. Мостовая, 18</t>
  </si>
  <si>
    <t>замена канализационного стояка в кв.7</t>
  </si>
  <si>
    <t>замена канализационного стояка в кв.30</t>
  </si>
  <si>
    <t>замена водосчетчика и ремонт хвс</t>
  </si>
  <si>
    <t>ремонт кнс</t>
  </si>
  <si>
    <t>подъем уровня в подвале глиной</t>
  </si>
  <si>
    <t>реконструкция площадки тбо</t>
  </si>
  <si>
    <t>замена эл.счетчика кв.9</t>
  </si>
  <si>
    <t>замена эл.счетчика кв.8</t>
  </si>
  <si>
    <t>замена эл.счетчика кв.10</t>
  </si>
  <si>
    <t xml:space="preserve">                                                    д. Пирогово, ул. Мостовая, 28</t>
  </si>
  <si>
    <t xml:space="preserve">                                                    с 01.01.2013 по 31.12.2013гг.</t>
  </si>
  <si>
    <t>ремонт системы канализации кв.2</t>
  </si>
  <si>
    <t>ремонт системы отопления кв.7</t>
  </si>
  <si>
    <t>ремонт эл.снабжения</t>
  </si>
  <si>
    <t>доставка и отгрузка чернозема</t>
  </si>
  <si>
    <t>осмотр электроснабжения МОП</t>
  </si>
  <si>
    <t>осмотр эл.снабжения</t>
  </si>
  <si>
    <t>утепление фасада дома кв. 1,4</t>
  </si>
  <si>
    <t>осмотр электроснабжения</t>
  </si>
  <si>
    <t>задолженность на 01.01.2013</t>
  </si>
  <si>
    <t>ремонт системы отопления кв.3</t>
  </si>
  <si>
    <t>частичный ремонт мягкой кровли</t>
  </si>
  <si>
    <t>установка замков на эл.счетах</t>
  </si>
  <si>
    <t>ремонт системы отопления кв.89</t>
  </si>
  <si>
    <t>земельные работы</t>
  </si>
  <si>
    <t>замена эл. Счетчиков кв. 58,5,80,69,85,60</t>
  </si>
  <si>
    <t>ремонт системы отопления кв.63</t>
  </si>
  <si>
    <t>замена радиаторов отопления кв.49</t>
  </si>
  <si>
    <t>замена радиаторов отопления кв.69</t>
  </si>
  <si>
    <t>замена радиаторов отопления кв.67</t>
  </si>
  <si>
    <t>сварочные работы на теплонасителе</t>
  </si>
  <si>
    <t>ремонт системы канализации кв.55</t>
  </si>
  <si>
    <t>задолженность населения на 31.12.2013</t>
  </si>
  <si>
    <t>вознаграждение председателю</t>
  </si>
  <si>
    <t>обслуживание домофона</t>
  </si>
  <si>
    <t>вывоз жбо</t>
  </si>
  <si>
    <t>начисленно за период  с 01.01.2013 по 31.12.2013</t>
  </si>
  <si>
    <t>собрано за период  с 01.01.2013 по 31.12.2013</t>
  </si>
  <si>
    <t>ремонт кровли</t>
  </si>
  <si>
    <t>ремонт электроснабжения</t>
  </si>
  <si>
    <t>уборка МОП</t>
  </si>
  <si>
    <t>установка газовых плит</t>
  </si>
  <si>
    <t>установка окон ПВХ</t>
  </si>
  <si>
    <t>ремонт входной группы</t>
  </si>
  <si>
    <t>установка пластиковых окон</t>
  </si>
  <si>
    <t>ремонт канализации</t>
  </si>
  <si>
    <t>ТО узла учета</t>
  </si>
  <si>
    <t>ремонт подъезда</t>
  </si>
  <si>
    <t>ремонт ХВС,ГВС,КНС</t>
  </si>
  <si>
    <t>ремонт ХВС,ГВС</t>
  </si>
  <si>
    <t>Площадь помещений в доме 4800,7кв.м.</t>
  </si>
  <si>
    <t>утепление фасада дома</t>
  </si>
  <si>
    <t>ремонт подъездов</t>
  </si>
  <si>
    <t>ремонт системы канализации</t>
  </si>
  <si>
    <t xml:space="preserve"> замена стояков ХВС, ГВС</t>
  </si>
  <si>
    <t>частичный ремонт кровли</t>
  </si>
  <si>
    <t>ремонт ХВС</t>
  </si>
  <si>
    <t>ремонт системы ХВС, канализации</t>
  </si>
  <si>
    <t>ремонт вентиляции</t>
  </si>
  <si>
    <t>ремонт козырьков</t>
  </si>
  <si>
    <t>ремонт отопления</t>
  </si>
  <si>
    <t>ремонт окон</t>
  </si>
  <si>
    <t>установка батарей в подъездах</t>
  </si>
  <si>
    <t>ремонт системы электроснабжения</t>
  </si>
  <si>
    <t>Ремонт системы отопления</t>
  </si>
  <si>
    <t>утепление чердачного помещения</t>
  </si>
  <si>
    <t>ремонт входных дверей</t>
  </si>
  <si>
    <t>ремонт  пола МОП</t>
  </si>
  <si>
    <t>косметический ремонт  МОП</t>
  </si>
  <si>
    <t>изготовление козырьков</t>
  </si>
  <si>
    <t>ремонт ХВС, ГВС, Канализации</t>
  </si>
  <si>
    <t>ремонт ХВС, ГВС</t>
  </si>
  <si>
    <t>установка входной группы</t>
  </si>
  <si>
    <t>утепление подвальных окон</t>
  </si>
  <si>
    <t>частичное утепление фасада дома</t>
  </si>
  <si>
    <t>частичный ремонт подъездов</t>
  </si>
  <si>
    <t>Итого за период 01.01.2013 по 31.12.2013</t>
  </si>
  <si>
    <t>Итого с учетом 2012 года</t>
  </si>
  <si>
    <t>частичное  утепление фасада дома</t>
  </si>
  <si>
    <t>задолженность ден.ср-в на 31.12.2013</t>
  </si>
  <si>
    <t>ремонт системы ХВС,ГВС, КНС</t>
  </si>
  <si>
    <t>частичное утепление фасада</t>
  </si>
  <si>
    <t>утепление, уселение  фасада дома</t>
  </si>
  <si>
    <t>замена ХВС</t>
  </si>
  <si>
    <t>ремонт фасада</t>
  </si>
  <si>
    <t>замена входных дверей</t>
  </si>
  <si>
    <t>монтаж ливневой канализации</t>
  </si>
  <si>
    <t>установка узла учета ГВС, согласно действующего законодательства</t>
  </si>
  <si>
    <t>ремонт электроснажения</t>
  </si>
  <si>
    <t>начислено за 2013 г</t>
  </si>
  <si>
    <t>установка домофона</t>
  </si>
  <si>
    <t>Остаток по стоимости работ произведенной в 2012 г</t>
  </si>
  <si>
    <t>собрано за 2013 г</t>
  </si>
  <si>
    <t>задолженность на 01.01.2014</t>
  </si>
  <si>
    <t>остаток стоимости работ</t>
  </si>
  <si>
    <t>начисленно за 2013</t>
  </si>
  <si>
    <t>задолженность населения на 01.01.2014</t>
  </si>
  <si>
    <t>возмещение стоимости ремонта</t>
  </si>
  <si>
    <t>начисленно за 2013 г</t>
  </si>
  <si>
    <t>задолженность на 01.01.13</t>
  </si>
  <si>
    <t>начислено за 2013</t>
  </si>
  <si>
    <t>собрано 2013</t>
  </si>
  <si>
    <t>Остаток по стоимости работ</t>
  </si>
  <si>
    <t xml:space="preserve">Остаток по стоимости произведенной в 2012 </t>
  </si>
  <si>
    <t>начислено 2013</t>
  </si>
  <si>
    <t>2.Текущий ремонт</t>
  </si>
  <si>
    <t>1.Содержание</t>
  </si>
  <si>
    <t>Направление расходование средств (выполненые работы)</t>
  </si>
  <si>
    <t>Остаток суммы по текущему ремонту на 01.01.2013 с учетом выполненых работ (долг (-), остаток (+))</t>
  </si>
  <si>
    <t xml:space="preserve">Остаток денежных средств на 31.12.13 (остаток (+), долг (-))   </t>
  </si>
  <si>
    <t>Возмещение стоимости по текущему ремонту кв.1</t>
  </si>
  <si>
    <t>Работы необходимые для надлежащего содержания общедомового имущество МКД, согласно действующего законодательства РФ и договора управления МКД (начисление квартплаты,контроль за качеством работ, снятие показ. с инд.и общедом.приборов учета, обработка данных,ведение тех документации, составл. планов и сметн.докум на тек. и кап.ремонт, заключ. договоров с пост.услуг, собствен., проведение собраний ,работа с должниками,вывоз и утилизация твердых отходов, техническое обслуживание конструктивных элементов жилого дома; техническое обслуживание внутридомового инженерного оборудования жилого дома, очистка  от наледи и  снега, покос травы, дератизация, дезинсекция и иные работы)</t>
  </si>
  <si>
    <t>Работы необходимые для надлежащего содержания общедомового имущество МКД, согласно действующего законодательства РФ и договора управления МКД (начисление квартплаты,контроль за качеством работ, снятие показ. с инд.и общедом.приборов учета, обработка данных,ведение тех документации, составл. планов и сметн.докум на тек. и кап.ремонт, заключ. договоров с пост.услуг, собствен., проведение собраний ,работа с должниками,вывоз и утилизация твердых отходов, техническое обслуживание конструктивных элементов жилого дома; техническое обслуживание внутридомового инженерного оборудования жилого дома, очистка  от наледи и  снега, покос травы, дератизация, дезинсекция и иные работы</t>
  </si>
  <si>
    <t>возмещение стоимости текущего ремонта кв.5</t>
  </si>
  <si>
    <t>возмещение стоимости текущего ремонта кв.54</t>
  </si>
  <si>
    <t>возмещение стоимости текущего ремонта кв.61</t>
  </si>
  <si>
    <t>возмещение стоимости текущего ремонта кв.1</t>
  </si>
  <si>
    <t>возмещение стоимости текущего ремонта кв.6</t>
  </si>
  <si>
    <t>возмещение стоимости текущего ремонта кв.11</t>
  </si>
  <si>
    <t>возмещение стоимости текущего ремонта кв.2</t>
  </si>
  <si>
    <t>Итого за 2013 год</t>
  </si>
</sst>
</file>

<file path=xl/styles.xml><?xml version="1.0" encoding="utf-8"?>
<styleSheet xmlns="http://schemas.openxmlformats.org/spreadsheetml/2006/main">
  <numFmts count="1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0\ _р_."/>
    <numFmt numFmtId="165" formatCode="0.0"/>
    <numFmt numFmtId="166" formatCode="#,##0.00\ &quot;р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b/>
      <sz val="16"/>
      <color indexed="8"/>
      <name val="Calibri"/>
      <family val="2"/>
    </font>
    <font>
      <b/>
      <i/>
      <sz val="16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b/>
      <i/>
      <sz val="16"/>
      <color indexed="8"/>
      <name val="Calibri"/>
      <family val="2"/>
    </font>
    <font>
      <sz val="16"/>
      <color indexed="8"/>
      <name val="Times New Roman"/>
      <family val="1"/>
    </font>
    <font>
      <sz val="14"/>
      <name val="Arial Cyr"/>
      <family val="2"/>
    </font>
    <font>
      <sz val="14"/>
      <name val="Arial"/>
      <family val="2"/>
    </font>
    <font>
      <sz val="8"/>
      <name val="Calibri"/>
      <family val="2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2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10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 vertical="top" wrapText="1"/>
    </xf>
    <xf numFmtId="2" fontId="12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5" fillId="0" borderId="0" xfId="0" applyFont="1" applyAlignment="1">
      <alignment/>
    </xf>
    <xf numFmtId="3" fontId="13" fillId="32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0" fontId="13" fillId="32" borderId="10" xfId="0" applyFont="1" applyFill="1" applyBorder="1" applyAlignment="1">
      <alignment wrapText="1"/>
    </xf>
    <xf numFmtId="3" fontId="13" fillId="32" borderId="10" xfId="0" applyNumberFormat="1" applyFont="1" applyFill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164" fontId="4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 vertical="top" wrapText="1"/>
    </xf>
    <xf numFmtId="164" fontId="12" fillId="0" borderId="10" xfId="0" applyNumberFormat="1" applyFont="1" applyBorder="1" applyAlignment="1">
      <alignment horizontal="center" wrapText="1"/>
    </xf>
    <xf numFmtId="164" fontId="10" fillId="0" borderId="10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2" fillId="0" borderId="11" xfId="0" applyFont="1" applyBorder="1" applyAlignment="1">
      <alignment/>
    </xf>
    <xf numFmtId="164" fontId="4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164" fontId="4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64" fontId="7" fillId="0" borderId="10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/>
    </xf>
    <xf numFmtId="164" fontId="12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wrapText="1"/>
    </xf>
    <xf numFmtId="164" fontId="12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vertical="top"/>
    </xf>
    <xf numFmtId="164" fontId="4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164" fontId="12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164" fontId="4" fillId="0" borderId="14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164" fontId="10" fillId="0" borderId="1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Alignment="1">
      <alignment/>
    </xf>
    <xf numFmtId="164" fontId="12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164" fontId="8" fillId="0" borderId="0" xfId="0" applyNumberFormat="1" applyFont="1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4" fillId="0" borderId="10" xfId="0" applyFont="1" applyFill="1" applyBorder="1" applyAlignment="1">
      <alignment/>
    </xf>
    <xf numFmtId="164" fontId="6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164" fontId="4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vertical="top" wrapText="1"/>
    </xf>
    <xf numFmtId="164" fontId="12" fillId="0" borderId="10" xfId="0" applyNumberFormat="1" applyFont="1" applyFill="1" applyBorder="1" applyAlignment="1">
      <alignment wrapText="1"/>
    </xf>
    <xf numFmtId="164" fontId="10" fillId="0" borderId="10" xfId="0" applyNumberFormat="1" applyFont="1" applyFill="1" applyBorder="1" applyAlignment="1">
      <alignment wrapText="1"/>
    </xf>
    <xf numFmtId="164" fontId="6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/>
    </xf>
    <xf numFmtId="39" fontId="6" fillId="0" borderId="18" xfId="42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/>
    </xf>
    <xf numFmtId="0" fontId="7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vertical="top"/>
    </xf>
    <xf numFmtId="0" fontId="4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164" fontId="7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164" fontId="7" fillId="0" borderId="20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7" fillId="0" borderId="13" xfId="0" applyFont="1" applyBorder="1" applyAlignment="1">
      <alignment wrapText="1"/>
    </xf>
    <xf numFmtId="164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3" xfId="0" applyFont="1" applyBorder="1" applyAlignment="1">
      <alignment vertical="top"/>
    </xf>
    <xf numFmtId="0" fontId="12" fillId="0" borderId="11" xfId="0" applyFont="1" applyBorder="1" applyAlignment="1">
      <alignment/>
    </xf>
    <xf numFmtId="0" fontId="12" fillId="0" borderId="16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/>
    </xf>
    <xf numFmtId="164" fontId="10" fillId="0" borderId="11" xfId="0" applyNumberFormat="1" applyFont="1" applyFill="1" applyBorder="1" applyAlignment="1">
      <alignment horizontal="center"/>
    </xf>
    <xf numFmtId="164" fontId="10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2" fontId="4" fillId="0" borderId="0" xfId="0" applyNumberFormat="1" applyFont="1" applyAlignment="1">
      <alignment/>
    </xf>
    <xf numFmtId="0" fontId="12" fillId="0" borderId="10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166" fontId="10" fillId="0" borderId="14" xfId="0" applyNumberFormat="1" applyFont="1" applyFill="1" applyBorder="1" applyAlignment="1">
      <alignment horizontal="center" vertical="center" wrapText="1"/>
    </xf>
    <xf numFmtId="166" fontId="10" fillId="0" borderId="15" xfId="0" applyNumberFormat="1" applyFont="1" applyFill="1" applyBorder="1" applyAlignment="1">
      <alignment horizontal="center" vertical="center" wrapText="1"/>
    </xf>
    <xf numFmtId="166" fontId="10" fillId="0" borderId="16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 vertical="top"/>
    </xf>
    <xf numFmtId="164" fontId="7" fillId="0" borderId="12" xfId="0" applyNumberFormat="1" applyFont="1" applyFill="1" applyBorder="1" applyAlignment="1">
      <alignment horizontal="center" vertical="top"/>
    </xf>
    <xf numFmtId="164" fontId="7" fillId="0" borderId="13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wrapText="1"/>
    </xf>
    <xf numFmtId="0" fontId="12" fillId="0" borderId="14" xfId="0" applyNumberFormat="1" applyFont="1" applyFill="1" applyBorder="1" applyAlignment="1">
      <alignment horizontal="center" vertical="top" wrapText="1"/>
    </xf>
    <xf numFmtId="0" fontId="12" fillId="0" borderId="15" xfId="0" applyNumberFormat="1" applyFont="1" applyFill="1" applyBorder="1" applyAlignment="1">
      <alignment horizontal="center" vertical="top" wrapText="1"/>
    </xf>
    <xf numFmtId="0" fontId="12" fillId="0" borderId="16" xfId="0" applyNumberFormat="1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center" wrapText="1"/>
    </xf>
    <xf numFmtId="0" fontId="12" fillId="0" borderId="24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4" xfId="0" applyFont="1" applyBorder="1" applyAlignment="1">
      <alignment horizontal="center" wrapText="1"/>
    </xf>
    <xf numFmtId="0" fontId="13" fillId="0" borderId="24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horizontal="center" wrapText="1"/>
    </xf>
    <xf numFmtId="0" fontId="12" fillId="0" borderId="24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164" fontId="12" fillId="0" borderId="15" xfId="0" applyNumberFormat="1" applyFont="1" applyFill="1" applyBorder="1" applyAlignment="1">
      <alignment horizontal="center" wrapText="1"/>
    </xf>
    <xf numFmtId="164" fontId="12" fillId="0" borderId="16" xfId="0" applyNumberFormat="1" applyFont="1" applyFill="1" applyBorder="1" applyAlignment="1">
      <alignment horizontal="center" wrapText="1"/>
    </xf>
    <xf numFmtId="164" fontId="10" fillId="0" borderId="15" xfId="0" applyNumberFormat="1" applyFont="1" applyFill="1" applyBorder="1" applyAlignment="1">
      <alignment horizontal="center" wrapText="1"/>
    </xf>
    <xf numFmtId="164" fontId="10" fillId="0" borderId="16" xfId="0" applyNumberFormat="1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ill="1" applyBorder="1" applyAlignment="1">
      <alignment/>
    </xf>
    <xf numFmtId="164" fontId="12" fillId="0" borderId="23" xfId="0" applyNumberFormat="1" applyFont="1" applyFill="1" applyBorder="1" applyAlignment="1">
      <alignment horizontal="center" wrapText="1"/>
    </xf>
    <xf numFmtId="164" fontId="12" fillId="0" borderId="19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4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10191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I65"/>
  <sheetViews>
    <sheetView tabSelected="1" view="pageBreakPreview" zoomScale="73" zoomScaleSheetLayoutView="73" zoomScalePageLayoutView="0" workbookViewId="0" topLeftCell="A46">
      <selection activeCell="C64" sqref="C64:E65"/>
    </sheetView>
  </sheetViews>
  <sheetFormatPr defaultColWidth="9.140625" defaultRowHeight="15"/>
  <cols>
    <col min="1" max="2" width="9.140625" style="45" customWidth="1"/>
    <col min="3" max="3" width="9.00390625" style="45" customWidth="1"/>
    <col min="4" max="5" width="37.8515625" style="45" customWidth="1"/>
    <col min="6" max="6" width="44.421875" style="45" customWidth="1"/>
    <col min="7" max="7" width="34.140625" style="45" customWidth="1"/>
    <col min="8" max="8" width="45.8515625" style="45" customWidth="1"/>
    <col min="9" max="9" width="21.00390625" style="45" customWidth="1"/>
    <col min="10" max="16384" width="9.140625" style="45" customWidth="1"/>
  </cols>
  <sheetData>
    <row r="1" spans="4:7" s="43" customFormat="1" ht="28.5">
      <c r="D1" s="44" t="s">
        <v>26</v>
      </c>
      <c r="E1" s="44"/>
      <c r="F1" s="44"/>
      <c r="G1" s="44"/>
    </row>
    <row r="2" spans="4:7" s="43" customFormat="1" ht="28.5">
      <c r="D2" s="44" t="s">
        <v>27</v>
      </c>
      <c r="E2" s="44"/>
      <c r="F2" s="44"/>
      <c r="G2" s="44"/>
    </row>
    <row r="3" spans="4:8" ht="18.75">
      <c r="D3" s="46" t="s">
        <v>28</v>
      </c>
      <c r="E3" s="46"/>
      <c r="F3" s="46"/>
      <c r="G3" s="46"/>
      <c r="H3" s="47"/>
    </row>
    <row r="4" spans="4:8" ht="18.75">
      <c r="D4" s="46" t="s">
        <v>29</v>
      </c>
      <c r="E4" s="46"/>
      <c r="F4" s="46"/>
      <c r="G4" s="46"/>
      <c r="H4" s="47"/>
    </row>
    <row r="5" spans="4:8" ht="15">
      <c r="D5" s="47"/>
      <c r="E5" s="47"/>
      <c r="F5" s="47"/>
      <c r="G5" s="47"/>
      <c r="H5" s="47"/>
    </row>
    <row r="6" spans="4:7" s="48" customFormat="1" ht="26.25">
      <c r="D6" s="43" t="s">
        <v>30</v>
      </c>
      <c r="E6" s="43"/>
      <c r="F6" s="43"/>
      <c r="G6" s="43"/>
    </row>
    <row r="7" spans="4:7" s="48" customFormat="1" ht="26.25">
      <c r="D7" s="43" t="s">
        <v>31</v>
      </c>
      <c r="E7" s="43"/>
      <c r="F7" s="43"/>
      <c r="G7" s="43"/>
    </row>
    <row r="8" spans="4:7" s="48" customFormat="1" ht="26.25">
      <c r="D8" s="43" t="s">
        <v>90</v>
      </c>
      <c r="E8" s="43"/>
      <c r="F8" s="43"/>
      <c r="G8" s="43"/>
    </row>
    <row r="9" spans="4:8" ht="15">
      <c r="D9" s="47"/>
      <c r="E9" s="47"/>
      <c r="F9" s="47"/>
      <c r="G9" s="47"/>
      <c r="H9" s="47"/>
    </row>
    <row r="10" spans="3:8" ht="21">
      <c r="C10" s="48" t="s">
        <v>25</v>
      </c>
      <c r="D10" s="47"/>
      <c r="E10" s="47"/>
      <c r="F10" s="47"/>
      <c r="G10" s="47"/>
      <c r="H10" s="47"/>
    </row>
    <row r="11" spans="3:8" s="50" customFormat="1" ht="40.5">
      <c r="C11" s="49" t="s">
        <v>13</v>
      </c>
      <c r="D11" s="49" t="s">
        <v>14</v>
      </c>
      <c r="E11" s="49" t="s">
        <v>172</v>
      </c>
      <c r="F11" s="49" t="s">
        <v>15</v>
      </c>
      <c r="G11" s="49" t="s">
        <v>16</v>
      </c>
      <c r="H11" s="49" t="s">
        <v>11</v>
      </c>
    </row>
    <row r="12" spans="3:8" s="48" customFormat="1" ht="21">
      <c r="C12" s="145" t="s">
        <v>17</v>
      </c>
      <c r="D12" s="146"/>
      <c r="E12" s="146"/>
      <c r="F12" s="146"/>
      <c r="G12" s="146"/>
      <c r="H12" s="147"/>
    </row>
    <row r="13" spans="3:8" s="48" customFormat="1" ht="21">
      <c r="C13" s="15">
        <v>1</v>
      </c>
      <c r="D13" s="15" t="s">
        <v>18</v>
      </c>
      <c r="E13" s="51">
        <v>64734.01</v>
      </c>
      <c r="F13" s="51">
        <f>503525.63-5294.95+812.7</f>
        <v>499043.38</v>
      </c>
      <c r="G13" s="51">
        <v>475802.88</v>
      </c>
      <c r="H13" s="51">
        <f>E13+F13-G13</f>
        <v>87974.51000000001</v>
      </c>
    </row>
    <row r="14" spans="3:8" s="48" customFormat="1" ht="21">
      <c r="C14" s="15">
        <v>2</v>
      </c>
      <c r="D14" s="15" t="s">
        <v>193</v>
      </c>
      <c r="E14" s="51"/>
      <c r="F14" s="51">
        <v>30537.52</v>
      </c>
      <c r="G14" s="51">
        <v>21679.26</v>
      </c>
      <c r="H14" s="51">
        <f>E14+F14-G14</f>
        <v>8858.260000000002</v>
      </c>
    </row>
    <row r="15" spans="3:8" s="48" customFormat="1" ht="21">
      <c r="C15" s="15">
        <v>3</v>
      </c>
      <c r="D15" s="15" t="s">
        <v>19</v>
      </c>
      <c r="E15" s="51">
        <v>17446.57</v>
      </c>
      <c r="F15" s="51">
        <f>140589.32-1049.73</f>
        <v>139539.59</v>
      </c>
      <c r="G15" s="51">
        <v>132451.46</v>
      </c>
      <c r="H15" s="51">
        <f>E15+F15-G15</f>
        <v>24534.70000000001</v>
      </c>
    </row>
    <row r="16" spans="3:8" s="48" customFormat="1" ht="41.25">
      <c r="C16" s="15"/>
      <c r="D16" s="52" t="s">
        <v>0</v>
      </c>
      <c r="E16" s="53">
        <f>SUM(E13:E15)</f>
        <v>82180.58</v>
      </c>
      <c r="F16" s="54">
        <f>SUM(F13:F15)</f>
        <v>669120.49</v>
      </c>
      <c r="G16" s="54">
        <f>SUM(G13:G15)</f>
        <v>629933.6</v>
      </c>
      <c r="H16" s="54">
        <f>E16+F16-G16</f>
        <v>121367.46999999997</v>
      </c>
    </row>
    <row r="17" spans="3:8" s="48" customFormat="1" ht="21">
      <c r="C17" s="145" t="s">
        <v>21</v>
      </c>
      <c r="D17" s="146"/>
      <c r="E17" s="146"/>
      <c r="F17" s="146"/>
      <c r="G17" s="146"/>
      <c r="H17" s="147"/>
    </row>
    <row r="18" spans="3:8" s="48" customFormat="1" ht="21">
      <c r="C18" s="15">
        <v>4</v>
      </c>
      <c r="D18" s="15" t="s">
        <v>1</v>
      </c>
      <c r="E18" s="51">
        <v>150896.6</v>
      </c>
      <c r="F18" s="55">
        <f>1298791.58-10831.49</f>
        <v>1287960.09</v>
      </c>
      <c r="G18" s="55">
        <v>1223008.22</v>
      </c>
      <c r="H18" s="55">
        <f>E18+F18-G18</f>
        <v>215848.4700000002</v>
      </c>
    </row>
    <row r="19" spans="3:8" s="48" customFormat="1" ht="21">
      <c r="C19" s="15">
        <v>5</v>
      </c>
      <c r="D19" s="56" t="s">
        <v>2</v>
      </c>
      <c r="E19" s="57">
        <v>21062.03</v>
      </c>
      <c r="F19" s="55">
        <f>152898.9-1779.09</f>
        <v>151119.81</v>
      </c>
      <c r="G19" s="55">
        <v>140925.17</v>
      </c>
      <c r="H19" s="55">
        <f>E19+F19-G19</f>
        <v>31256.669999999984</v>
      </c>
    </row>
    <row r="20" spans="3:8" s="48" customFormat="1" ht="21">
      <c r="C20" s="15">
        <v>6</v>
      </c>
      <c r="D20" s="56" t="s">
        <v>7</v>
      </c>
      <c r="E20" s="57">
        <v>68998.3</v>
      </c>
      <c r="F20" s="55">
        <v>508878.91</v>
      </c>
      <c r="G20" s="55">
        <v>467059.96</v>
      </c>
      <c r="H20" s="55">
        <f>E20+F20-G20</f>
        <v>110817.24999999994</v>
      </c>
    </row>
    <row r="21" spans="3:8" s="48" customFormat="1" ht="21">
      <c r="C21" s="15">
        <v>7</v>
      </c>
      <c r="D21" s="56" t="s">
        <v>3</v>
      </c>
      <c r="E21" s="57">
        <v>21668.59</v>
      </c>
      <c r="F21" s="55">
        <f>152512.22-2549.67</f>
        <v>149962.55</v>
      </c>
      <c r="G21" s="55">
        <v>139079.14</v>
      </c>
      <c r="H21" s="55">
        <f>E21+F21-G21</f>
        <v>32551.99999999997</v>
      </c>
    </row>
    <row r="22" spans="3:8" s="48" customFormat="1" ht="41.25">
      <c r="C22" s="15">
        <v>8</v>
      </c>
      <c r="D22" s="56" t="s">
        <v>4</v>
      </c>
      <c r="E22" s="57">
        <v>19388.17</v>
      </c>
      <c r="F22" s="55">
        <f>305191.71+7566.43</f>
        <v>312758.14</v>
      </c>
      <c r="G22" s="55">
        <v>278005.15</v>
      </c>
      <c r="H22" s="55">
        <f>E22+F22-G22</f>
        <v>54141.159999999974</v>
      </c>
    </row>
    <row r="23" spans="3:8" s="48" customFormat="1" ht="41.25">
      <c r="C23" s="15"/>
      <c r="D23" s="52" t="s">
        <v>5</v>
      </c>
      <c r="E23" s="53">
        <f>SUM(E18:E22)</f>
        <v>282013.69</v>
      </c>
      <c r="F23" s="53">
        <f>SUM(F18:F22)</f>
        <v>2410679.5</v>
      </c>
      <c r="G23" s="53">
        <f>SUM(G18:G22)</f>
        <v>2248077.6399999997</v>
      </c>
      <c r="H23" s="53">
        <f>SUM(H18:H22)</f>
        <v>444615.5500000001</v>
      </c>
    </row>
    <row r="24" spans="3:8" s="48" customFormat="1" ht="41.25">
      <c r="C24" s="15"/>
      <c r="D24" s="52" t="s">
        <v>6</v>
      </c>
      <c r="E24" s="53">
        <f>E16+E23</f>
        <v>364194.27</v>
      </c>
      <c r="F24" s="53">
        <f>F16+F23</f>
        <v>3079799.99</v>
      </c>
      <c r="G24" s="53">
        <f>G16+G23</f>
        <v>2878011.2399999998</v>
      </c>
      <c r="H24" s="53">
        <f>H16+H23</f>
        <v>565983.02</v>
      </c>
    </row>
    <row r="25" spans="3:8" s="48" customFormat="1" ht="21">
      <c r="C25" s="58"/>
      <c r="D25" s="59"/>
      <c r="E25" s="59"/>
      <c r="F25" s="60"/>
      <c r="G25" s="60"/>
      <c r="H25" s="60"/>
    </row>
    <row r="26" spans="7:8" s="48" customFormat="1" ht="21">
      <c r="G26" s="61"/>
      <c r="H26" s="61" t="s">
        <v>22</v>
      </c>
    </row>
    <row r="27" spans="3:8" s="48" customFormat="1" ht="25.5">
      <c r="C27" s="148" t="s">
        <v>259</v>
      </c>
      <c r="D27" s="149"/>
      <c r="E27" s="149"/>
      <c r="F27" s="149"/>
      <c r="G27" s="149"/>
      <c r="H27" s="150"/>
    </row>
    <row r="28" spans="3:8" s="63" customFormat="1" ht="42" customHeight="1">
      <c r="C28" s="151" t="s">
        <v>260</v>
      </c>
      <c r="D28" s="152"/>
      <c r="E28" s="152"/>
      <c r="F28" s="153"/>
      <c r="G28" s="49" t="s">
        <v>23</v>
      </c>
      <c r="H28" s="62" t="s">
        <v>232</v>
      </c>
    </row>
    <row r="29" spans="3:8" s="48" customFormat="1" ht="208.5" customHeight="1">
      <c r="C29" s="154" t="s">
        <v>264</v>
      </c>
      <c r="D29" s="155"/>
      <c r="E29" s="155"/>
      <c r="F29" s="156"/>
      <c r="G29" s="65">
        <f>F13</f>
        <v>499043.38</v>
      </c>
      <c r="H29" s="65">
        <f>E13+F13-G13</f>
        <v>87974.51000000001</v>
      </c>
    </row>
    <row r="30" spans="3:8" s="48" customFormat="1" ht="38.25" customHeight="1">
      <c r="C30" s="148" t="s">
        <v>258</v>
      </c>
      <c r="D30" s="149"/>
      <c r="E30" s="149"/>
      <c r="F30" s="149"/>
      <c r="G30" s="149"/>
      <c r="H30" s="150"/>
    </row>
    <row r="31" spans="3:8" s="48" customFormat="1" ht="83.25" customHeight="1">
      <c r="C31" s="162" t="s">
        <v>261</v>
      </c>
      <c r="D31" s="163"/>
      <c r="E31" s="164" t="s">
        <v>260</v>
      </c>
      <c r="F31" s="165"/>
      <c r="G31" s="166"/>
      <c r="H31" s="111" t="s">
        <v>262</v>
      </c>
    </row>
    <row r="32" spans="3:8" s="48" customFormat="1" ht="62.25" customHeight="1">
      <c r="C32" s="112"/>
      <c r="D32" s="113">
        <v>-8946.28</v>
      </c>
      <c r="E32" s="144" t="s">
        <v>95</v>
      </c>
      <c r="F32" s="144"/>
      <c r="G32" s="67">
        <v>309</v>
      </c>
      <c r="H32" s="65"/>
    </row>
    <row r="33" spans="3:8" s="48" customFormat="1" ht="21">
      <c r="C33" s="160"/>
      <c r="D33" s="70"/>
      <c r="E33" s="144" t="s">
        <v>96</v>
      </c>
      <c r="F33" s="144"/>
      <c r="G33" s="67">
        <v>95</v>
      </c>
      <c r="H33" s="65"/>
    </row>
    <row r="34" spans="3:8" s="48" customFormat="1" ht="21">
      <c r="C34" s="158"/>
      <c r="D34" s="58"/>
      <c r="E34" s="144" t="s">
        <v>97</v>
      </c>
      <c r="F34" s="144"/>
      <c r="G34" s="67">
        <v>75</v>
      </c>
      <c r="H34" s="65"/>
    </row>
    <row r="35" spans="3:8" s="48" customFormat="1" ht="21">
      <c r="C35" s="158"/>
      <c r="D35" s="70"/>
      <c r="E35" s="144" t="s">
        <v>98</v>
      </c>
      <c r="F35" s="144"/>
      <c r="G35" s="67">
        <v>167</v>
      </c>
      <c r="H35" s="65"/>
    </row>
    <row r="36" spans="3:8" s="48" customFormat="1" ht="21">
      <c r="C36" s="158"/>
      <c r="D36" s="70"/>
      <c r="E36" s="144" t="s">
        <v>99</v>
      </c>
      <c r="F36" s="144"/>
      <c r="G36" s="67">
        <v>11151.2</v>
      </c>
      <c r="H36" s="65"/>
    </row>
    <row r="37" spans="3:8" s="48" customFormat="1" ht="21">
      <c r="C37" s="158"/>
      <c r="D37" s="70"/>
      <c r="E37" s="144" t="s">
        <v>100</v>
      </c>
      <c r="F37" s="144"/>
      <c r="G37" s="67">
        <v>8942.25</v>
      </c>
      <c r="H37" s="65"/>
    </row>
    <row r="38" spans="3:8" s="48" customFormat="1" ht="21">
      <c r="C38" s="158"/>
      <c r="D38" s="70"/>
      <c r="E38" s="144" t="s">
        <v>101</v>
      </c>
      <c r="F38" s="144"/>
      <c r="G38" s="67">
        <v>5000</v>
      </c>
      <c r="H38" s="65"/>
    </row>
    <row r="39" spans="3:8" s="48" customFormat="1" ht="21">
      <c r="C39" s="158"/>
      <c r="D39" s="70"/>
      <c r="E39" s="144" t="s">
        <v>102</v>
      </c>
      <c r="F39" s="144"/>
      <c r="G39" s="67">
        <v>4115</v>
      </c>
      <c r="H39" s="65"/>
    </row>
    <row r="40" spans="3:8" s="48" customFormat="1" ht="21">
      <c r="C40" s="158"/>
      <c r="D40" s="70"/>
      <c r="E40" s="144" t="s">
        <v>103</v>
      </c>
      <c r="F40" s="144"/>
      <c r="G40" s="67">
        <v>4365</v>
      </c>
      <c r="H40" s="65"/>
    </row>
    <row r="41" spans="3:8" s="48" customFormat="1" ht="21">
      <c r="C41" s="158"/>
      <c r="D41" s="70"/>
      <c r="E41" s="144" t="s">
        <v>106</v>
      </c>
      <c r="F41" s="144"/>
      <c r="G41" s="67">
        <v>2100</v>
      </c>
      <c r="H41" s="65"/>
    </row>
    <row r="42" spans="3:8" s="48" customFormat="1" ht="21">
      <c r="C42" s="158"/>
      <c r="D42" s="70"/>
      <c r="E42" s="144" t="s">
        <v>10</v>
      </c>
      <c r="F42" s="144"/>
      <c r="G42" s="67">
        <v>107813.71</v>
      </c>
      <c r="H42" s="65"/>
    </row>
    <row r="43" spans="3:8" s="48" customFormat="1" ht="21">
      <c r="C43" s="158"/>
      <c r="D43" s="70"/>
      <c r="E43" s="144" t="s">
        <v>93</v>
      </c>
      <c r="F43" s="144"/>
      <c r="G43" s="67">
        <v>975.46</v>
      </c>
      <c r="H43" s="65"/>
    </row>
    <row r="44" spans="3:8" s="48" customFormat="1" ht="21">
      <c r="C44" s="158"/>
      <c r="D44" s="70"/>
      <c r="E44" s="144" t="s">
        <v>104</v>
      </c>
      <c r="F44" s="144"/>
      <c r="G44" s="67">
        <v>1867</v>
      </c>
      <c r="H44" s="65"/>
    </row>
    <row r="45" spans="3:8" s="48" customFormat="1" ht="21">
      <c r="C45" s="158"/>
      <c r="D45" s="70"/>
      <c r="E45" s="144" t="s">
        <v>105</v>
      </c>
      <c r="F45" s="144"/>
      <c r="G45" s="67">
        <v>6500</v>
      </c>
      <c r="H45" s="65"/>
    </row>
    <row r="46" spans="3:8" s="48" customFormat="1" ht="21">
      <c r="C46" s="158"/>
      <c r="D46" s="70"/>
      <c r="E46" s="144" t="s">
        <v>107</v>
      </c>
      <c r="F46" s="144"/>
      <c r="G46" s="67">
        <v>55970</v>
      </c>
      <c r="H46" s="65"/>
    </row>
    <row r="47" spans="3:8" s="48" customFormat="1" ht="21">
      <c r="C47" s="158"/>
      <c r="D47" s="70"/>
      <c r="E47" s="144" t="s">
        <v>108</v>
      </c>
      <c r="F47" s="144"/>
      <c r="G47" s="67">
        <v>5786.14</v>
      </c>
      <c r="H47" s="65"/>
    </row>
    <row r="48" spans="3:8" s="48" customFormat="1" ht="21">
      <c r="C48" s="158"/>
      <c r="D48" s="70"/>
      <c r="E48" s="144" t="s">
        <v>109</v>
      </c>
      <c r="F48" s="144"/>
      <c r="G48" s="67">
        <v>9689.58</v>
      </c>
      <c r="H48" s="65"/>
    </row>
    <row r="49" spans="3:8" s="48" customFormat="1" ht="21">
      <c r="C49" s="158"/>
      <c r="D49" s="70"/>
      <c r="E49" s="144" t="s">
        <v>33</v>
      </c>
      <c r="F49" s="144"/>
      <c r="G49" s="67">
        <v>952</v>
      </c>
      <c r="H49" s="65"/>
    </row>
    <row r="50" spans="3:8" s="48" customFormat="1" ht="21">
      <c r="C50" s="158"/>
      <c r="D50" s="70"/>
      <c r="E50" s="144" t="s">
        <v>110</v>
      </c>
      <c r="F50" s="144"/>
      <c r="G50" s="67">
        <v>576</v>
      </c>
      <c r="H50" s="65"/>
    </row>
    <row r="51" spans="3:8" s="48" customFormat="1" ht="21">
      <c r="C51" s="161"/>
      <c r="D51" s="71"/>
      <c r="E51" s="144" t="s">
        <v>111</v>
      </c>
      <c r="F51" s="144"/>
      <c r="G51" s="67">
        <v>700</v>
      </c>
      <c r="H51" s="65"/>
    </row>
    <row r="52" spans="3:8" s="48" customFormat="1" ht="41.25">
      <c r="C52" s="66"/>
      <c r="D52" s="72"/>
      <c r="E52" s="72"/>
      <c r="F52" s="73" t="s">
        <v>229</v>
      </c>
      <c r="G52" s="74">
        <f>SUM(G32:G51)</f>
        <v>227149.34</v>
      </c>
      <c r="H52" s="75">
        <f>G15-G52</f>
        <v>-94697.88</v>
      </c>
    </row>
    <row r="53" spans="3:8" s="48" customFormat="1" ht="21">
      <c r="C53" s="66"/>
      <c r="D53" s="72"/>
      <c r="E53" s="72"/>
      <c r="F53" s="73" t="s">
        <v>230</v>
      </c>
      <c r="G53" s="74"/>
      <c r="H53" s="75">
        <f>H52+D32</f>
        <v>-103644.16</v>
      </c>
    </row>
    <row r="54" spans="3:8" s="48" customFormat="1" ht="36">
      <c r="C54" s="64">
        <v>3</v>
      </c>
      <c r="D54" s="52" t="s">
        <v>24</v>
      </c>
      <c r="E54" s="52"/>
      <c r="F54" s="76" t="s">
        <v>227</v>
      </c>
      <c r="G54" s="66"/>
      <c r="H54" s="15"/>
    </row>
    <row r="55" spans="3:8" s="48" customFormat="1" ht="21">
      <c r="C55" s="159"/>
      <c r="D55" s="157"/>
      <c r="E55" s="69"/>
      <c r="F55" s="76" t="s">
        <v>228</v>
      </c>
      <c r="G55" s="66"/>
      <c r="H55" s="15"/>
    </row>
    <row r="56" spans="3:8" s="48" customFormat="1" ht="21">
      <c r="C56" s="158"/>
      <c r="D56" s="158"/>
      <c r="E56" s="70"/>
      <c r="F56" s="76" t="s">
        <v>191</v>
      </c>
      <c r="G56" s="66"/>
      <c r="H56" s="15"/>
    </row>
    <row r="57" spans="3:8" s="48" customFormat="1" ht="21">
      <c r="C57" s="158"/>
      <c r="D57" s="158"/>
      <c r="E57" s="70"/>
      <c r="F57" s="76" t="s">
        <v>197</v>
      </c>
      <c r="G57" s="66"/>
      <c r="H57" s="15"/>
    </row>
    <row r="58" spans="3:9" s="79" customFormat="1" ht="63">
      <c r="C58" s="49" t="s">
        <v>13</v>
      </c>
      <c r="D58" s="49" t="s">
        <v>55</v>
      </c>
      <c r="E58" s="49" t="s">
        <v>53</v>
      </c>
      <c r="F58" s="49" t="s">
        <v>248</v>
      </c>
      <c r="G58" s="49" t="s">
        <v>245</v>
      </c>
      <c r="H58" s="77" t="s">
        <v>249</v>
      </c>
      <c r="I58" s="78" t="s">
        <v>54</v>
      </c>
    </row>
    <row r="59" spans="3:9" s="81" customFormat="1" ht="21">
      <c r="C59" s="15">
        <v>1</v>
      </c>
      <c r="D59" s="15" t="s">
        <v>201</v>
      </c>
      <c r="E59" s="51">
        <v>948305</v>
      </c>
      <c r="F59" s="51">
        <v>200978.4</v>
      </c>
      <c r="G59" s="51">
        <v>146293.34</v>
      </c>
      <c r="H59" s="80">
        <f>F59-G59</f>
        <v>54685.06</v>
      </c>
      <c r="I59" s="51">
        <f>E59-G59</f>
        <v>802011.66</v>
      </c>
    </row>
    <row r="62" spans="4:5" ht="26.25">
      <c r="D62" s="43"/>
      <c r="E62" s="43"/>
    </row>
    <row r="63" spans="4:5" ht="26.25">
      <c r="D63" s="43"/>
      <c r="E63" s="43"/>
    </row>
    <row r="64" spans="4:5" ht="26.25">
      <c r="D64" s="43"/>
      <c r="E64" s="43"/>
    </row>
    <row r="65" spans="4:5" ht="26.25">
      <c r="D65" s="43"/>
      <c r="E65" s="43"/>
    </row>
  </sheetData>
  <sheetProtection/>
  <mergeCells count="31">
    <mergeCell ref="D55:D57"/>
    <mergeCell ref="C55:C57"/>
    <mergeCell ref="C33:C51"/>
    <mergeCell ref="C31:D31"/>
    <mergeCell ref="E31:G31"/>
    <mergeCell ref="E32:F32"/>
    <mergeCell ref="E33:F33"/>
    <mergeCell ref="E34:F34"/>
    <mergeCell ref="E35:F35"/>
    <mergeCell ref="E36:F36"/>
    <mergeCell ref="C12:H12"/>
    <mergeCell ref="C17:H17"/>
    <mergeCell ref="C27:H27"/>
    <mergeCell ref="C28:F28"/>
    <mergeCell ref="C29:F29"/>
    <mergeCell ref="C30:H30"/>
    <mergeCell ref="E37:F37"/>
    <mergeCell ref="E38:F38"/>
    <mergeCell ref="E39:F39"/>
    <mergeCell ref="E40:F40"/>
    <mergeCell ref="E41:F41"/>
    <mergeCell ref="E42:F42"/>
    <mergeCell ref="E43:F43"/>
    <mergeCell ref="E44:F44"/>
    <mergeCell ref="E49:F49"/>
    <mergeCell ref="E50:F50"/>
    <mergeCell ref="E51:F51"/>
    <mergeCell ref="E45:F45"/>
    <mergeCell ref="E46:F46"/>
    <mergeCell ref="E47:F47"/>
    <mergeCell ref="E48:F48"/>
  </mergeCells>
  <printOptions/>
  <pageMargins left="0.2362204724409449" right="0.2362204724409449" top="0.35433070866141736" bottom="0.35433070866141736" header="0.31496062992125984" footer="0.31496062992125984"/>
  <pageSetup fitToHeight="2" fitToWidth="1" horizontalDpi="600" verticalDpi="600" orientation="landscape" paperSize="9" scale="58" r:id="rId2"/>
  <rowBreaks count="1" manualBreakCount="1">
    <brk id="25" min="2" max="9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73" zoomScaleSheetLayoutView="73" zoomScalePageLayoutView="0" workbookViewId="0" topLeftCell="A39">
      <selection activeCell="B51" sqref="B51:C52"/>
    </sheetView>
  </sheetViews>
  <sheetFormatPr defaultColWidth="9.140625" defaultRowHeight="15"/>
  <cols>
    <col min="1" max="1" width="9.00390625" style="45" customWidth="1"/>
    <col min="2" max="2" width="45.140625" style="45" customWidth="1"/>
    <col min="3" max="3" width="32.57421875" style="45" customWidth="1"/>
    <col min="4" max="4" width="37.00390625" style="45" customWidth="1"/>
    <col min="5" max="5" width="29.28125" style="45" customWidth="1"/>
    <col min="6" max="6" width="24.28125" style="45" customWidth="1"/>
    <col min="7" max="7" width="25.421875" style="45" customWidth="1"/>
    <col min="8" max="8" width="26.8515625" style="45" customWidth="1"/>
    <col min="9" max="9" width="4.7109375" style="45" customWidth="1"/>
    <col min="10" max="10" width="9.140625" style="45" hidden="1" customWidth="1"/>
    <col min="11" max="16384" width="9.140625" style="45" customWidth="1"/>
  </cols>
  <sheetData>
    <row r="1" spans="2:5" s="43" customFormat="1" ht="28.5">
      <c r="B1" s="44" t="s">
        <v>26</v>
      </c>
      <c r="C1" s="44"/>
      <c r="D1" s="44"/>
      <c r="E1" s="44"/>
    </row>
    <row r="2" spans="2:5" s="43" customFormat="1" ht="28.5">
      <c r="B2" s="44" t="s">
        <v>27</v>
      </c>
      <c r="C2" s="44"/>
      <c r="D2" s="44"/>
      <c r="E2" s="44"/>
    </row>
    <row r="3" spans="2:6" ht="18.75">
      <c r="B3" s="46" t="s">
        <v>28</v>
      </c>
      <c r="C3" s="46"/>
      <c r="D3" s="46"/>
      <c r="E3" s="46"/>
      <c r="F3" s="47"/>
    </row>
    <row r="4" spans="2:6" ht="18.75">
      <c r="B4" s="46" t="s">
        <v>29</v>
      </c>
      <c r="C4" s="46"/>
      <c r="D4" s="46"/>
      <c r="E4" s="46"/>
      <c r="F4" s="47"/>
    </row>
    <row r="5" spans="2:6" ht="15">
      <c r="B5" s="47"/>
      <c r="C5" s="47"/>
      <c r="D5" s="47"/>
      <c r="E5" s="47"/>
      <c r="F5" s="47"/>
    </row>
    <row r="6" spans="2:5" s="48" customFormat="1" ht="26.25">
      <c r="B6" s="43" t="s">
        <v>30</v>
      </c>
      <c r="C6" s="43"/>
      <c r="D6" s="43"/>
      <c r="E6" s="43"/>
    </row>
    <row r="7" spans="2:5" s="48" customFormat="1" ht="26.25">
      <c r="B7" s="43" t="s">
        <v>56</v>
      </c>
      <c r="C7" s="43"/>
      <c r="D7" s="43"/>
      <c r="E7" s="43"/>
    </row>
    <row r="8" spans="2:5" s="48" customFormat="1" ht="26.25">
      <c r="B8" s="43" t="s">
        <v>90</v>
      </c>
      <c r="C8" s="43"/>
      <c r="D8" s="43"/>
      <c r="E8" s="43"/>
    </row>
    <row r="9" spans="2:6" ht="15">
      <c r="B9" s="47"/>
      <c r="C9" s="47"/>
      <c r="D9" s="47"/>
      <c r="E9" s="47"/>
      <c r="F9" s="47"/>
    </row>
    <row r="10" spans="1:6" ht="21">
      <c r="A10" s="48" t="s">
        <v>57</v>
      </c>
      <c r="B10" s="47"/>
      <c r="C10" s="47"/>
      <c r="D10" s="47"/>
      <c r="E10" s="47"/>
      <c r="F10" s="47"/>
    </row>
    <row r="11" s="48" customFormat="1" ht="34.5" customHeight="1">
      <c r="F11" s="61" t="s">
        <v>20</v>
      </c>
    </row>
    <row r="12" spans="1:6" s="50" customFormat="1" ht="40.5">
      <c r="A12" s="49" t="s">
        <v>13</v>
      </c>
      <c r="B12" s="49" t="s">
        <v>14</v>
      </c>
      <c r="C12" s="49" t="s">
        <v>172</v>
      </c>
      <c r="D12" s="49" t="s">
        <v>15</v>
      </c>
      <c r="E12" s="49" t="s">
        <v>16</v>
      </c>
      <c r="F12" s="49" t="s">
        <v>11</v>
      </c>
    </row>
    <row r="13" spans="1:6" s="48" customFormat="1" ht="21">
      <c r="A13" s="145" t="s">
        <v>17</v>
      </c>
      <c r="B13" s="146"/>
      <c r="C13" s="146"/>
      <c r="D13" s="146"/>
      <c r="E13" s="146"/>
      <c r="F13" s="147"/>
    </row>
    <row r="14" spans="1:6" s="48" customFormat="1" ht="21">
      <c r="A14" s="15">
        <v>1</v>
      </c>
      <c r="B14" s="15" t="s">
        <v>18</v>
      </c>
      <c r="C14" s="51">
        <v>19453.7</v>
      </c>
      <c r="D14" s="51">
        <v>75944.88</v>
      </c>
      <c r="E14" s="51">
        <v>58304.69</v>
      </c>
      <c r="F14" s="51">
        <f>C14+D14-E14</f>
        <v>37093.89</v>
      </c>
    </row>
    <row r="15" spans="1:6" s="48" customFormat="1" ht="21">
      <c r="A15" s="15">
        <v>2</v>
      </c>
      <c r="B15" s="15" t="s">
        <v>19</v>
      </c>
      <c r="C15" s="51">
        <v>5615.88</v>
      </c>
      <c r="D15" s="51">
        <f>21924.24-16345</f>
        <v>5579.240000000002</v>
      </c>
      <c r="E15" s="51">
        <v>16831.78</v>
      </c>
      <c r="F15" s="51">
        <f>C15+D15-E15</f>
        <v>-5636.659999999996</v>
      </c>
    </row>
    <row r="16" spans="1:6" s="48" customFormat="1" ht="21" hidden="1">
      <c r="A16" s="15">
        <v>3</v>
      </c>
      <c r="B16" s="15" t="s">
        <v>250</v>
      </c>
      <c r="C16" s="51"/>
      <c r="D16" s="51"/>
      <c r="E16" s="51"/>
      <c r="F16" s="51">
        <f>C16+D16-E16</f>
        <v>0</v>
      </c>
    </row>
    <row r="17" spans="1:6" s="48" customFormat="1" ht="21">
      <c r="A17" s="15"/>
      <c r="B17" s="52" t="s">
        <v>0</v>
      </c>
      <c r="C17" s="53">
        <f>SUM(C14:C15)</f>
        <v>25069.58</v>
      </c>
      <c r="D17" s="53">
        <f>SUM(D14:D16)</f>
        <v>81524.12000000001</v>
      </c>
      <c r="E17" s="53">
        <f>SUM(E14:E15)</f>
        <v>75136.47</v>
      </c>
      <c r="F17" s="53">
        <f>SUM(F14:F16)</f>
        <v>31457.230000000003</v>
      </c>
    </row>
    <row r="18" spans="1:6" s="48" customFormat="1" ht="21">
      <c r="A18" s="145" t="s">
        <v>21</v>
      </c>
      <c r="B18" s="146"/>
      <c r="C18" s="146"/>
      <c r="D18" s="146"/>
      <c r="E18" s="146"/>
      <c r="F18" s="147"/>
    </row>
    <row r="19" spans="1:6" s="48" customFormat="1" ht="21">
      <c r="A19" s="15">
        <v>4</v>
      </c>
      <c r="B19" s="15" t="s">
        <v>1</v>
      </c>
      <c r="C19" s="51">
        <v>51688.76</v>
      </c>
      <c r="D19" s="55">
        <f>331992.6-0.39</f>
        <v>331992.20999999996</v>
      </c>
      <c r="E19" s="55">
        <f>253897.54-30806.29</f>
        <v>223091.25</v>
      </c>
      <c r="F19" s="55">
        <f>C19+D19-E19</f>
        <v>160589.71999999997</v>
      </c>
    </row>
    <row r="20" spans="1:6" s="48" customFormat="1" ht="21">
      <c r="A20" s="15">
        <v>5</v>
      </c>
      <c r="B20" s="56" t="s">
        <v>2</v>
      </c>
      <c r="C20" s="57">
        <v>10809.5</v>
      </c>
      <c r="D20" s="55">
        <v>35796.32</v>
      </c>
      <c r="E20" s="55">
        <v>23082.95</v>
      </c>
      <c r="F20" s="55">
        <f>C20+D20-E20</f>
        <v>23522.87</v>
      </c>
    </row>
    <row r="21" spans="1:6" s="48" customFormat="1" ht="21" hidden="1">
      <c r="A21" s="15">
        <v>5</v>
      </c>
      <c r="B21" s="56" t="s">
        <v>7</v>
      </c>
      <c r="C21" s="57"/>
      <c r="D21" s="55"/>
      <c r="E21" s="55"/>
      <c r="F21" s="55">
        <f>C21+D21-E21</f>
        <v>0</v>
      </c>
    </row>
    <row r="22" spans="1:6" s="48" customFormat="1" ht="21">
      <c r="A22" s="15">
        <v>6</v>
      </c>
      <c r="B22" s="56" t="s">
        <v>3</v>
      </c>
      <c r="C22" s="57">
        <v>6193.93</v>
      </c>
      <c r="D22" s="55">
        <v>21900.54</v>
      </c>
      <c r="E22" s="55">
        <v>13779.71</v>
      </c>
      <c r="F22" s="55">
        <f>C22+D22-E22</f>
        <v>14314.760000000002</v>
      </c>
    </row>
    <row r="23" spans="1:6" s="48" customFormat="1" ht="21" hidden="1">
      <c r="A23" s="15">
        <v>7</v>
      </c>
      <c r="B23" s="56" t="s">
        <v>4</v>
      </c>
      <c r="C23" s="57"/>
      <c r="D23" s="55"/>
      <c r="E23" s="55"/>
      <c r="F23" s="55"/>
    </row>
    <row r="24" spans="1:6" s="48" customFormat="1" ht="41.25">
      <c r="A24" s="15"/>
      <c r="B24" s="52" t="s">
        <v>5</v>
      </c>
      <c r="C24" s="53">
        <f>SUM(C19:C23)</f>
        <v>68692.19</v>
      </c>
      <c r="D24" s="53">
        <f>SUM(D19:D23)</f>
        <v>389689.06999999995</v>
      </c>
      <c r="E24" s="53">
        <f>SUM(E19:E23)</f>
        <v>259953.91</v>
      </c>
      <c r="F24" s="53">
        <f>SUM(F19:F23)</f>
        <v>198427.34999999998</v>
      </c>
    </row>
    <row r="25" spans="1:6" s="48" customFormat="1" ht="41.25">
      <c r="A25" s="15"/>
      <c r="B25" s="52" t="s">
        <v>6</v>
      </c>
      <c r="C25" s="53">
        <f>C17+C24</f>
        <v>93761.77</v>
      </c>
      <c r="D25" s="53">
        <f>D17+D24</f>
        <v>471213.18999999994</v>
      </c>
      <c r="E25" s="53">
        <f>E17+E24</f>
        <v>335090.38</v>
      </c>
      <c r="F25" s="53">
        <f>F17+F24</f>
        <v>229884.58</v>
      </c>
    </row>
    <row r="26" spans="1:7" s="48" customFormat="1" ht="21">
      <c r="A26" s="58"/>
      <c r="B26" s="59"/>
      <c r="C26" s="59"/>
      <c r="D26" s="60"/>
      <c r="E26" s="60"/>
      <c r="F26" s="60"/>
      <c r="G26" s="94"/>
    </row>
    <row r="27" spans="1:6" s="48" customFormat="1" ht="21">
      <c r="A27" s="58"/>
      <c r="B27" s="59"/>
      <c r="C27" s="59"/>
      <c r="D27" s="60"/>
      <c r="E27" s="60"/>
      <c r="F27" s="60"/>
    </row>
    <row r="28" spans="5:6" s="48" customFormat="1" ht="21">
      <c r="E28" s="61"/>
      <c r="F28" s="61" t="s">
        <v>22</v>
      </c>
    </row>
    <row r="29" spans="1:6" s="48" customFormat="1" ht="25.5">
      <c r="A29" s="148" t="s">
        <v>259</v>
      </c>
      <c r="B29" s="149"/>
      <c r="C29" s="149"/>
      <c r="D29" s="149"/>
      <c r="E29" s="149"/>
      <c r="F29" s="150"/>
    </row>
    <row r="30" spans="1:6" s="48" customFormat="1" ht="63">
      <c r="A30" s="151" t="s">
        <v>260</v>
      </c>
      <c r="B30" s="152"/>
      <c r="C30" s="152"/>
      <c r="D30" s="153"/>
      <c r="E30" s="49" t="s">
        <v>23</v>
      </c>
      <c r="F30" s="62" t="s">
        <v>232</v>
      </c>
    </row>
    <row r="31" spans="1:6" s="48" customFormat="1" ht="188.25" customHeight="1">
      <c r="A31" s="178" t="s">
        <v>265</v>
      </c>
      <c r="B31" s="179"/>
      <c r="C31" s="179"/>
      <c r="D31" s="180"/>
      <c r="E31" s="65">
        <f>D14</f>
        <v>75944.88</v>
      </c>
      <c r="F31" s="65">
        <f>E14</f>
        <v>58304.69</v>
      </c>
    </row>
    <row r="32" spans="1:6" s="48" customFormat="1" ht="25.5">
      <c r="A32" s="148" t="s">
        <v>258</v>
      </c>
      <c r="B32" s="149"/>
      <c r="C32" s="149"/>
      <c r="D32" s="149"/>
      <c r="E32" s="149"/>
      <c r="F32" s="150"/>
    </row>
    <row r="33" spans="1:6" s="48" customFormat="1" ht="105">
      <c r="A33" s="181" t="s">
        <v>261</v>
      </c>
      <c r="B33" s="182"/>
      <c r="C33" s="164" t="s">
        <v>260</v>
      </c>
      <c r="D33" s="165"/>
      <c r="E33" s="166"/>
      <c r="F33" s="111" t="s">
        <v>262</v>
      </c>
    </row>
    <row r="34" spans="1:6" s="48" customFormat="1" ht="21">
      <c r="A34" s="122"/>
      <c r="B34" s="123">
        <v>3519.22</v>
      </c>
      <c r="C34" s="186" t="s">
        <v>91</v>
      </c>
      <c r="D34" s="168"/>
      <c r="E34" s="57">
        <v>256</v>
      </c>
      <c r="F34" s="51"/>
    </row>
    <row r="35" spans="1:6" s="48" customFormat="1" ht="21">
      <c r="A35" s="118"/>
      <c r="B35" s="124"/>
      <c r="C35" s="186" t="s">
        <v>92</v>
      </c>
      <c r="D35" s="168"/>
      <c r="E35" s="57">
        <v>16635</v>
      </c>
      <c r="F35" s="51"/>
    </row>
    <row r="36" spans="1:6" s="48" customFormat="1" ht="21">
      <c r="A36" s="118"/>
      <c r="B36" s="124"/>
      <c r="C36" s="167" t="s">
        <v>93</v>
      </c>
      <c r="D36" s="168"/>
      <c r="E36" s="57">
        <v>149.83</v>
      </c>
      <c r="F36" s="51"/>
    </row>
    <row r="37" spans="1:6" s="48" customFormat="1" ht="21">
      <c r="A37" s="118"/>
      <c r="B37" s="124"/>
      <c r="C37" s="167" t="s">
        <v>272</v>
      </c>
      <c r="D37" s="168"/>
      <c r="E37" s="57">
        <v>16345</v>
      </c>
      <c r="F37" s="51"/>
    </row>
    <row r="38" spans="1:6" s="48" customFormat="1" ht="21">
      <c r="A38" s="118"/>
      <c r="B38" s="125"/>
      <c r="C38" s="187" t="s">
        <v>229</v>
      </c>
      <c r="D38" s="184"/>
      <c r="E38" s="83">
        <f>SUM(E34:E37)</f>
        <v>33385.83</v>
      </c>
      <c r="F38" s="91">
        <f>E15-E38</f>
        <v>-16554.050000000003</v>
      </c>
    </row>
    <row r="39" spans="1:6" s="48" customFormat="1" ht="21">
      <c r="A39" s="72"/>
      <c r="B39" s="114"/>
      <c r="C39" s="185" t="s">
        <v>230</v>
      </c>
      <c r="D39" s="170"/>
      <c r="E39" s="83"/>
      <c r="F39" s="91">
        <f>B34+F38</f>
        <v>-13034.830000000004</v>
      </c>
    </row>
    <row r="40" spans="1:6" s="48" customFormat="1" ht="21">
      <c r="A40" s="116">
        <v>3</v>
      </c>
      <c r="B40" s="115" t="s">
        <v>24</v>
      </c>
      <c r="C40" s="52"/>
      <c r="D40" s="86" t="s">
        <v>213</v>
      </c>
      <c r="E40" s="66"/>
      <c r="F40" s="15"/>
    </row>
    <row r="41" spans="1:6" s="48" customFormat="1" ht="21">
      <c r="A41" s="159"/>
      <c r="B41" s="157"/>
      <c r="C41" s="69"/>
      <c r="D41" s="86" t="s">
        <v>205</v>
      </c>
      <c r="E41" s="66"/>
      <c r="F41" s="15"/>
    </row>
    <row r="42" spans="1:6" s="48" customFormat="1" ht="21">
      <c r="A42" s="158"/>
      <c r="B42" s="158"/>
      <c r="C42" s="70"/>
      <c r="D42" s="76" t="s">
        <v>39</v>
      </c>
      <c r="E42" s="66"/>
      <c r="F42" s="15"/>
    </row>
    <row r="43" spans="1:6" s="48" customFormat="1" ht="21">
      <c r="A43" s="158"/>
      <c r="B43" s="158"/>
      <c r="C43" s="70"/>
      <c r="D43" s="86"/>
      <c r="E43" s="66"/>
      <c r="F43" s="15"/>
    </row>
    <row r="44" spans="1:6" s="48" customFormat="1" ht="21">
      <c r="A44" s="161"/>
      <c r="B44" s="161"/>
      <c r="C44" s="71"/>
      <c r="D44" s="86"/>
      <c r="E44" s="66"/>
      <c r="F44" s="15"/>
    </row>
    <row r="45" spans="1:6" s="48" customFormat="1" ht="21">
      <c r="A45" s="90"/>
      <c r="B45" s="90"/>
      <c r="C45" s="90"/>
      <c r="D45" s="86"/>
      <c r="E45" s="66"/>
      <c r="F45" s="15"/>
    </row>
    <row r="46" spans="1:8" s="48" customFormat="1" ht="21">
      <c r="A46" s="96"/>
      <c r="B46" s="96"/>
      <c r="C46" s="96"/>
      <c r="D46" s="97"/>
      <c r="E46" s="93"/>
      <c r="F46" s="98"/>
      <c r="H46" s="98" t="s">
        <v>52</v>
      </c>
    </row>
    <row r="47" spans="1:8" s="48" customFormat="1" ht="87" customHeight="1">
      <c r="A47" s="49" t="s">
        <v>13</v>
      </c>
      <c r="B47" s="49" t="s">
        <v>55</v>
      </c>
      <c r="C47" s="49" t="s">
        <v>244</v>
      </c>
      <c r="D47" s="49" t="s">
        <v>252</v>
      </c>
      <c r="E47" s="49" t="s">
        <v>253</v>
      </c>
      <c r="F47" s="49" t="s">
        <v>254</v>
      </c>
      <c r="G47" s="49" t="s">
        <v>246</v>
      </c>
      <c r="H47" s="49" t="s">
        <v>255</v>
      </c>
    </row>
    <row r="48" spans="1:8" s="48" customFormat="1" ht="21">
      <c r="A48" s="15">
        <v>1</v>
      </c>
      <c r="B48" s="15" t="s">
        <v>191</v>
      </c>
      <c r="C48" s="51">
        <f>160520-39901.68</f>
        <v>120618.32</v>
      </c>
      <c r="D48" s="51">
        <v>28347.59</v>
      </c>
      <c r="E48" s="51">
        <v>115851.89</v>
      </c>
      <c r="F48" s="51">
        <v>95490.42</v>
      </c>
      <c r="G48" s="51">
        <f>D48+E48-F48</f>
        <v>48709.06000000001</v>
      </c>
      <c r="H48" s="51">
        <f>C48-E48</f>
        <v>4766.430000000008</v>
      </c>
    </row>
    <row r="49" spans="1:8" s="48" customFormat="1" ht="21">
      <c r="A49" s="15"/>
      <c r="B49" s="15"/>
      <c r="C49" s="15"/>
      <c r="D49" s="15"/>
      <c r="E49" s="15"/>
      <c r="F49" s="15"/>
      <c r="G49" s="95"/>
      <c r="H49" s="15"/>
    </row>
    <row r="50" s="79" customFormat="1" ht="15"/>
    <row r="51" spans="2:8" ht="26.25">
      <c r="B51" s="43"/>
      <c r="C51" s="43"/>
      <c r="H51" s="79"/>
    </row>
    <row r="52" spans="2:8" ht="26.25">
      <c r="B52" s="43"/>
      <c r="C52" s="43"/>
      <c r="H52" s="79"/>
    </row>
  </sheetData>
  <sheetProtection/>
  <mergeCells count="16">
    <mergeCell ref="A13:F13"/>
    <mergeCell ref="A18:F18"/>
    <mergeCell ref="A41:A44"/>
    <mergeCell ref="B41:B44"/>
    <mergeCell ref="C36:D36"/>
    <mergeCell ref="A29:F29"/>
    <mergeCell ref="A30:D30"/>
    <mergeCell ref="A31:D31"/>
    <mergeCell ref="A32:F32"/>
    <mergeCell ref="A33:B33"/>
    <mergeCell ref="C39:D39"/>
    <mergeCell ref="C37:D37"/>
    <mergeCell ref="C33:E33"/>
    <mergeCell ref="C34:D34"/>
    <mergeCell ref="C35:D35"/>
    <mergeCell ref="C38:D38"/>
  </mergeCells>
  <printOptions/>
  <pageMargins left="0.25" right="0.25" top="0.75" bottom="0.75" header="0.3" footer="0.3"/>
  <pageSetup horizontalDpi="600" verticalDpi="600" orientation="landscape" paperSize="9" scale="51" r:id="rId2"/>
  <rowBreaks count="1" manualBreakCount="1">
    <brk id="31" max="9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H47"/>
  <sheetViews>
    <sheetView view="pageBreakPreview" zoomScale="73" zoomScaleSheetLayoutView="73" zoomScalePageLayoutView="0" workbookViewId="0" topLeftCell="A38">
      <selection activeCell="C46" sqref="C46:F47"/>
    </sheetView>
  </sheetViews>
  <sheetFormatPr defaultColWidth="9.140625" defaultRowHeight="15"/>
  <cols>
    <col min="1" max="2" width="9.140625" style="45" customWidth="1"/>
    <col min="3" max="3" width="9.00390625" style="45" customWidth="1"/>
    <col min="4" max="5" width="37.8515625" style="45" customWidth="1"/>
    <col min="6" max="6" width="44.421875" style="45" customWidth="1"/>
    <col min="7" max="7" width="34.140625" style="45" customWidth="1"/>
    <col min="8" max="8" width="31.140625" style="45" customWidth="1"/>
    <col min="9" max="9" width="12.8515625" style="45" customWidth="1"/>
    <col min="10" max="10" width="9.140625" style="45" hidden="1" customWidth="1"/>
    <col min="11" max="16384" width="9.140625" style="45" customWidth="1"/>
  </cols>
  <sheetData>
    <row r="1" spans="4:7" s="43" customFormat="1" ht="28.5">
      <c r="D1" s="44" t="s">
        <v>26</v>
      </c>
      <c r="E1" s="44"/>
      <c r="F1" s="44"/>
      <c r="G1" s="44"/>
    </row>
    <row r="2" spans="4:7" s="43" customFormat="1" ht="28.5">
      <c r="D2" s="44" t="s">
        <v>27</v>
      </c>
      <c r="E2" s="44"/>
      <c r="F2" s="44"/>
      <c r="G2" s="44"/>
    </row>
    <row r="3" spans="4:8" ht="18.75">
      <c r="D3" s="46" t="s">
        <v>28</v>
      </c>
      <c r="E3" s="46"/>
      <c r="F3" s="46"/>
      <c r="G3" s="46"/>
      <c r="H3" s="47"/>
    </row>
    <row r="4" spans="4:8" ht="18.75">
      <c r="D4" s="46" t="s">
        <v>29</v>
      </c>
      <c r="E4" s="46"/>
      <c r="F4" s="46"/>
      <c r="G4" s="46"/>
      <c r="H4" s="47"/>
    </row>
    <row r="5" spans="4:8" ht="15">
      <c r="D5" s="47"/>
      <c r="E5" s="47"/>
      <c r="F5" s="47"/>
      <c r="G5" s="47"/>
      <c r="H5" s="47"/>
    </row>
    <row r="6" spans="4:7" s="48" customFormat="1" ht="26.25">
      <c r="D6" s="43" t="s">
        <v>30</v>
      </c>
      <c r="E6" s="43"/>
      <c r="F6" s="43"/>
      <c r="G6" s="43"/>
    </row>
    <row r="7" spans="4:7" s="48" customFormat="1" ht="26.25">
      <c r="D7" s="43" t="s">
        <v>58</v>
      </c>
      <c r="E7" s="43"/>
      <c r="F7" s="43"/>
      <c r="G7" s="43"/>
    </row>
    <row r="8" spans="4:7" s="48" customFormat="1" ht="26.25">
      <c r="D8" s="43" t="s">
        <v>90</v>
      </c>
      <c r="E8" s="43"/>
      <c r="F8" s="43"/>
      <c r="G8" s="43"/>
    </row>
    <row r="9" spans="4:8" ht="15">
      <c r="D9" s="47"/>
      <c r="E9" s="47"/>
      <c r="F9" s="47"/>
      <c r="G9" s="47"/>
      <c r="H9" s="47"/>
    </row>
    <row r="10" spans="3:8" ht="21">
      <c r="C10" s="48" t="s">
        <v>59</v>
      </c>
      <c r="D10" s="47"/>
      <c r="E10" s="47"/>
      <c r="F10" s="47"/>
      <c r="G10" s="47"/>
      <c r="H10" s="47"/>
    </row>
    <row r="11" s="48" customFormat="1" ht="34.5" customHeight="1">
      <c r="H11" s="61" t="s">
        <v>20</v>
      </c>
    </row>
    <row r="12" spans="3:8" s="50" customFormat="1" ht="40.5">
      <c r="C12" s="49" t="s">
        <v>13</v>
      </c>
      <c r="D12" s="49" t="s">
        <v>14</v>
      </c>
      <c r="E12" s="49" t="s">
        <v>172</v>
      </c>
      <c r="F12" s="49" t="s">
        <v>15</v>
      </c>
      <c r="G12" s="49" t="s">
        <v>16</v>
      </c>
      <c r="H12" s="49" t="s">
        <v>11</v>
      </c>
    </row>
    <row r="13" spans="3:8" s="48" customFormat="1" ht="21">
      <c r="C13" s="145" t="s">
        <v>17</v>
      </c>
      <c r="D13" s="146"/>
      <c r="E13" s="146"/>
      <c r="F13" s="146"/>
      <c r="G13" s="146"/>
      <c r="H13" s="147"/>
    </row>
    <row r="14" spans="3:8" s="48" customFormat="1" ht="21">
      <c r="C14" s="15">
        <v>1</v>
      </c>
      <c r="D14" s="15" t="s">
        <v>18</v>
      </c>
      <c r="E14" s="51">
        <v>7715.57</v>
      </c>
      <c r="F14" s="51">
        <v>74940.84</v>
      </c>
      <c r="G14" s="51">
        <v>75253.26</v>
      </c>
      <c r="H14" s="51">
        <f>E14+F14-G14</f>
        <v>7403.150000000009</v>
      </c>
    </row>
    <row r="15" spans="3:8" s="48" customFormat="1" ht="21">
      <c r="C15" s="15">
        <v>2</v>
      </c>
      <c r="D15" s="15" t="s">
        <v>199</v>
      </c>
      <c r="E15" s="51"/>
      <c r="F15" s="51">
        <v>12396.42</v>
      </c>
      <c r="G15" s="51">
        <v>10853.79</v>
      </c>
      <c r="H15" s="51">
        <f>E15+F15-G15</f>
        <v>1542.6299999999992</v>
      </c>
    </row>
    <row r="16" spans="3:8" s="48" customFormat="1" ht="21">
      <c r="C16" s="15">
        <v>3</v>
      </c>
      <c r="D16" s="15" t="s">
        <v>19</v>
      </c>
      <c r="E16" s="51">
        <v>2227.55</v>
      </c>
      <c r="F16" s="51">
        <v>21634.44</v>
      </c>
      <c r="G16" s="51">
        <v>21724.66</v>
      </c>
      <c r="H16" s="51">
        <f>E16+F16-G16</f>
        <v>2137.329999999998</v>
      </c>
    </row>
    <row r="17" spans="3:8" s="48" customFormat="1" ht="41.25">
      <c r="C17" s="15"/>
      <c r="D17" s="52" t="s">
        <v>0</v>
      </c>
      <c r="E17" s="53">
        <f>SUM(E14:E16)</f>
        <v>9943.119999999999</v>
      </c>
      <c r="F17" s="53">
        <f>SUM(F14:F16)</f>
        <v>108971.7</v>
      </c>
      <c r="G17" s="53">
        <f>SUM(G14:G16)</f>
        <v>107831.70999999999</v>
      </c>
      <c r="H17" s="53">
        <f>SUM(H14:H16)</f>
        <v>11083.110000000006</v>
      </c>
    </row>
    <row r="18" spans="3:8" s="48" customFormat="1" ht="21">
      <c r="C18" s="145" t="s">
        <v>21</v>
      </c>
      <c r="D18" s="146"/>
      <c r="E18" s="146"/>
      <c r="F18" s="146"/>
      <c r="G18" s="146"/>
      <c r="H18" s="147"/>
    </row>
    <row r="19" spans="3:8" s="48" customFormat="1" ht="21">
      <c r="C19" s="15">
        <v>4</v>
      </c>
      <c r="D19" s="15" t="s">
        <v>1</v>
      </c>
      <c r="E19" s="51">
        <v>33808.22</v>
      </c>
      <c r="F19" s="55">
        <f>309436.78-825.17</f>
        <v>308611.61000000004</v>
      </c>
      <c r="G19" s="55">
        <v>306551.18</v>
      </c>
      <c r="H19" s="55">
        <f>E19+F19-G19</f>
        <v>35868.65000000008</v>
      </c>
    </row>
    <row r="20" spans="3:8" s="48" customFormat="1" ht="21">
      <c r="C20" s="15">
        <v>5</v>
      </c>
      <c r="D20" s="56" t="s">
        <v>2</v>
      </c>
      <c r="E20" s="57">
        <v>4189.12</v>
      </c>
      <c r="F20" s="55">
        <v>52667.01</v>
      </c>
      <c r="G20" s="55">
        <v>53968.91</v>
      </c>
      <c r="H20" s="55">
        <f>E20+F20-G20</f>
        <v>2887.220000000001</v>
      </c>
    </row>
    <row r="21" spans="3:8" s="48" customFormat="1" ht="21" hidden="1">
      <c r="C21" s="15">
        <v>5</v>
      </c>
      <c r="D21" s="56" t="s">
        <v>7</v>
      </c>
      <c r="E21" s="57"/>
      <c r="F21" s="55"/>
      <c r="G21" s="55"/>
      <c r="H21" s="55">
        <f>E21+F21-G21</f>
        <v>0</v>
      </c>
    </row>
    <row r="22" spans="3:8" s="48" customFormat="1" ht="21">
      <c r="C22" s="15">
        <v>6</v>
      </c>
      <c r="D22" s="56" t="s">
        <v>3</v>
      </c>
      <c r="E22" s="57">
        <v>2475.69</v>
      </c>
      <c r="F22" s="55">
        <v>31818.36</v>
      </c>
      <c r="G22" s="55">
        <v>32350.27</v>
      </c>
      <c r="H22" s="55">
        <f>E22+F22-G22</f>
        <v>1943.7800000000025</v>
      </c>
    </row>
    <row r="23" spans="3:8" s="48" customFormat="1" ht="41.25" hidden="1">
      <c r="C23" s="15">
        <v>7</v>
      </c>
      <c r="D23" s="56" t="s">
        <v>4</v>
      </c>
      <c r="E23" s="57"/>
      <c r="F23" s="55"/>
      <c r="G23" s="55"/>
      <c r="H23" s="55"/>
    </row>
    <row r="24" spans="3:8" s="48" customFormat="1" ht="41.25">
      <c r="C24" s="15"/>
      <c r="D24" s="52" t="s">
        <v>5</v>
      </c>
      <c r="E24" s="53">
        <f>SUM(E19:E23)</f>
        <v>40473.030000000006</v>
      </c>
      <c r="F24" s="53">
        <f>SUM(F19:F23)</f>
        <v>393096.98000000004</v>
      </c>
      <c r="G24" s="53">
        <f>SUM(G19:G23)</f>
        <v>392870.36</v>
      </c>
      <c r="H24" s="53">
        <f>SUM(H19:H23)</f>
        <v>40699.65000000008</v>
      </c>
    </row>
    <row r="25" spans="3:8" s="48" customFormat="1" ht="41.25">
      <c r="C25" s="15"/>
      <c r="D25" s="52" t="s">
        <v>6</v>
      </c>
      <c r="E25" s="53">
        <f>E17+E24</f>
        <v>50416.15000000001</v>
      </c>
      <c r="F25" s="53">
        <f>F17+F24</f>
        <v>502068.68000000005</v>
      </c>
      <c r="G25" s="53">
        <f>G17+G24</f>
        <v>500702.06999999995</v>
      </c>
      <c r="H25" s="53">
        <f>H17+H24</f>
        <v>51782.76000000009</v>
      </c>
    </row>
    <row r="26" spans="3:8" s="48" customFormat="1" ht="21">
      <c r="C26" s="58"/>
      <c r="D26" s="59"/>
      <c r="E26" s="59"/>
      <c r="F26" s="60"/>
      <c r="G26" s="60"/>
      <c r="H26" s="60"/>
    </row>
    <row r="27" spans="3:8" s="48" customFormat="1" ht="21">
      <c r="C27" s="58"/>
      <c r="D27" s="59"/>
      <c r="E27" s="59"/>
      <c r="F27" s="60"/>
      <c r="G27" s="60"/>
      <c r="H27" s="60"/>
    </row>
    <row r="28" spans="7:8" s="48" customFormat="1" ht="21">
      <c r="G28" s="61"/>
      <c r="H28" s="61" t="s">
        <v>22</v>
      </c>
    </row>
    <row r="29" spans="3:8" s="48" customFormat="1" ht="25.5">
      <c r="C29" s="148" t="s">
        <v>259</v>
      </c>
      <c r="D29" s="149"/>
      <c r="E29" s="149"/>
      <c r="F29" s="149"/>
      <c r="G29" s="149"/>
      <c r="H29" s="150"/>
    </row>
    <row r="30" spans="3:8" s="48" customFormat="1" ht="42">
      <c r="C30" s="151" t="s">
        <v>260</v>
      </c>
      <c r="D30" s="152"/>
      <c r="E30" s="152"/>
      <c r="F30" s="153"/>
      <c r="G30" s="49" t="s">
        <v>23</v>
      </c>
      <c r="H30" s="62" t="s">
        <v>232</v>
      </c>
    </row>
    <row r="31" spans="3:8" s="48" customFormat="1" ht="193.5" customHeight="1">
      <c r="C31" s="178" t="s">
        <v>265</v>
      </c>
      <c r="D31" s="179"/>
      <c r="E31" s="179"/>
      <c r="F31" s="180"/>
      <c r="G31" s="65">
        <f>F14</f>
        <v>74940.84</v>
      </c>
      <c r="H31" s="65">
        <f>H14</f>
        <v>7403.150000000009</v>
      </c>
    </row>
    <row r="32" spans="3:8" s="48" customFormat="1" ht="25.5">
      <c r="C32" s="148" t="s">
        <v>258</v>
      </c>
      <c r="D32" s="149"/>
      <c r="E32" s="149"/>
      <c r="F32" s="149"/>
      <c r="G32" s="149"/>
      <c r="H32" s="150"/>
    </row>
    <row r="33" spans="3:8" s="48" customFormat="1" ht="63">
      <c r="C33" s="181" t="s">
        <v>261</v>
      </c>
      <c r="D33" s="182"/>
      <c r="E33" s="164" t="s">
        <v>260</v>
      </c>
      <c r="F33" s="165"/>
      <c r="G33" s="166"/>
      <c r="H33" s="111" t="s">
        <v>262</v>
      </c>
    </row>
    <row r="34" spans="3:8" s="48" customFormat="1" ht="21">
      <c r="C34" s="122"/>
      <c r="D34" s="123">
        <f>6786.74-17651.2</f>
        <v>-10864.460000000001</v>
      </c>
      <c r="E34" s="186" t="s">
        <v>94</v>
      </c>
      <c r="F34" s="168"/>
      <c r="G34" s="57">
        <v>132.92</v>
      </c>
      <c r="H34" s="51"/>
    </row>
    <row r="35" spans="3:8" s="48" customFormat="1" ht="21">
      <c r="C35" s="118"/>
      <c r="D35" s="124"/>
      <c r="E35" s="186" t="s">
        <v>108</v>
      </c>
      <c r="F35" s="168"/>
      <c r="G35" s="57">
        <v>875.26</v>
      </c>
      <c r="H35" s="51"/>
    </row>
    <row r="36" spans="3:8" s="48" customFormat="1" ht="21">
      <c r="C36" s="118"/>
      <c r="D36" s="124"/>
      <c r="E36" s="206" t="s">
        <v>113</v>
      </c>
      <c r="F36" s="207"/>
      <c r="G36" s="57">
        <v>1458.84</v>
      </c>
      <c r="H36" s="51"/>
    </row>
    <row r="37" spans="3:8" s="48" customFormat="1" ht="21">
      <c r="C37" s="118"/>
      <c r="D37" s="125"/>
      <c r="E37" s="185" t="s">
        <v>229</v>
      </c>
      <c r="F37" s="170"/>
      <c r="G37" s="83">
        <f>SUM(G34:G36)</f>
        <v>2467.02</v>
      </c>
      <c r="H37" s="91">
        <f>G16-G37</f>
        <v>19257.64</v>
      </c>
    </row>
    <row r="38" spans="3:8" s="48" customFormat="1" ht="21">
      <c r="C38" s="72"/>
      <c r="D38" s="114"/>
      <c r="E38" s="185" t="s">
        <v>230</v>
      </c>
      <c r="F38" s="170"/>
      <c r="G38" s="83"/>
      <c r="H38" s="91">
        <f>D34+H37</f>
        <v>8393.179999999998</v>
      </c>
    </row>
    <row r="39" spans="3:8" s="48" customFormat="1" ht="21">
      <c r="C39" s="116">
        <v>3</v>
      </c>
      <c r="D39" s="115" t="s">
        <v>24</v>
      </c>
      <c r="E39" s="52"/>
      <c r="F39" s="86" t="s">
        <v>213</v>
      </c>
      <c r="G39" s="66"/>
      <c r="H39" s="15"/>
    </row>
    <row r="40" spans="3:8" s="48" customFormat="1" ht="21">
      <c r="C40" s="159"/>
      <c r="D40" s="157"/>
      <c r="E40" s="69"/>
      <c r="F40" s="86" t="s">
        <v>10</v>
      </c>
      <c r="G40" s="66"/>
      <c r="H40" s="15"/>
    </row>
    <row r="41" spans="3:8" s="48" customFormat="1" ht="21">
      <c r="C41" s="158"/>
      <c r="D41" s="158"/>
      <c r="E41" s="70"/>
      <c r="F41" s="86" t="s">
        <v>205</v>
      </c>
      <c r="G41" s="66"/>
      <c r="H41" s="15"/>
    </row>
    <row r="42" spans="3:8" s="48" customFormat="1" ht="21">
      <c r="C42" s="158"/>
      <c r="D42" s="158"/>
      <c r="E42" s="70"/>
      <c r="F42" s="76" t="s">
        <v>39</v>
      </c>
      <c r="G42" s="66"/>
      <c r="H42" s="15"/>
    </row>
    <row r="43" spans="3:8" s="48" customFormat="1" ht="21">
      <c r="C43" s="158"/>
      <c r="D43" s="158"/>
      <c r="E43" s="70"/>
      <c r="F43" s="86"/>
      <c r="G43" s="66"/>
      <c r="H43" s="15"/>
    </row>
    <row r="44" spans="3:8" s="48" customFormat="1" ht="21">
      <c r="C44" s="161"/>
      <c r="D44" s="161"/>
      <c r="E44" s="71"/>
      <c r="F44" s="86"/>
      <c r="G44" s="66"/>
      <c r="H44" s="15"/>
    </row>
    <row r="46" spans="3:4" ht="26.25">
      <c r="C46" s="43"/>
      <c r="D46" s="43"/>
    </row>
    <row r="47" spans="3:4" ht="26.25">
      <c r="C47" s="43"/>
      <c r="D47" s="43"/>
    </row>
  </sheetData>
  <sheetProtection/>
  <mergeCells count="15">
    <mergeCell ref="C40:C44"/>
    <mergeCell ref="D40:D44"/>
    <mergeCell ref="E36:F36"/>
    <mergeCell ref="C29:H29"/>
    <mergeCell ref="C30:F30"/>
    <mergeCell ref="C31:F31"/>
    <mergeCell ref="C32:H32"/>
    <mergeCell ref="C33:D33"/>
    <mergeCell ref="E38:F38"/>
    <mergeCell ref="E33:G33"/>
    <mergeCell ref="E34:F34"/>
    <mergeCell ref="E35:F35"/>
    <mergeCell ref="E37:F37"/>
    <mergeCell ref="C13:H13"/>
    <mergeCell ref="C18:H18"/>
  </mergeCells>
  <printOptions/>
  <pageMargins left="0.25" right="0.25" top="0.75" bottom="0.75" header="0.3" footer="0.3"/>
  <pageSetup horizontalDpi="600" verticalDpi="600" orientation="landscape" paperSize="9" scale="53" r:id="rId2"/>
  <rowBreaks count="1" manualBreakCount="1">
    <brk id="31" min="2" max="7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H44"/>
  <sheetViews>
    <sheetView view="pageBreakPreview" zoomScale="73" zoomScaleSheetLayoutView="73" zoomScalePageLayoutView="0" workbookViewId="0" topLeftCell="B42">
      <selection activeCell="D43" sqref="D43:G44"/>
    </sheetView>
  </sheetViews>
  <sheetFormatPr defaultColWidth="9.140625" defaultRowHeight="15"/>
  <cols>
    <col min="1" max="2" width="9.140625" style="45" customWidth="1"/>
    <col min="3" max="3" width="9.00390625" style="45" customWidth="1"/>
    <col min="4" max="5" width="37.8515625" style="45" customWidth="1"/>
    <col min="6" max="6" width="44.421875" style="45" customWidth="1"/>
    <col min="7" max="7" width="34.140625" style="45" customWidth="1"/>
    <col min="8" max="8" width="29.8515625" style="45" customWidth="1"/>
    <col min="9" max="16384" width="9.140625" style="45" customWidth="1"/>
  </cols>
  <sheetData>
    <row r="1" spans="4:7" s="43" customFormat="1" ht="28.5">
      <c r="D1" s="44" t="s">
        <v>26</v>
      </c>
      <c r="E1" s="44"/>
      <c r="F1" s="44"/>
      <c r="G1" s="44"/>
    </row>
    <row r="2" spans="4:7" s="43" customFormat="1" ht="28.5">
      <c r="D2" s="44" t="s">
        <v>27</v>
      </c>
      <c r="E2" s="44"/>
      <c r="F2" s="44"/>
      <c r="G2" s="44"/>
    </row>
    <row r="3" spans="4:8" ht="18.75">
      <c r="D3" s="46" t="s">
        <v>28</v>
      </c>
      <c r="E3" s="46"/>
      <c r="F3" s="46"/>
      <c r="G3" s="46"/>
      <c r="H3" s="47"/>
    </row>
    <row r="4" spans="4:8" ht="18.75">
      <c r="D4" s="46" t="s">
        <v>29</v>
      </c>
      <c r="E4" s="46"/>
      <c r="F4" s="46"/>
      <c r="G4" s="46"/>
      <c r="H4" s="47"/>
    </row>
    <row r="5" spans="4:8" ht="15">
      <c r="D5" s="47"/>
      <c r="E5" s="47"/>
      <c r="F5" s="47"/>
      <c r="G5" s="47"/>
      <c r="H5" s="47"/>
    </row>
    <row r="6" spans="4:7" s="48" customFormat="1" ht="26.25">
      <c r="D6" s="43" t="s">
        <v>30</v>
      </c>
      <c r="E6" s="43"/>
      <c r="F6" s="43"/>
      <c r="G6" s="43"/>
    </row>
    <row r="7" spans="4:7" s="48" customFormat="1" ht="26.25">
      <c r="D7" s="43" t="s">
        <v>60</v>
      </c>
      <c r="E7" s="43"/>
      <c r="F7" s="43"/>
      <c r="G7" s="43"/>
    </row>
    <row r="8" spans="4:7" s="48" customFormat="1" ht="26.25">
      <c r="D8" s="43" t="s">
        <v>90</v>
      </c>
      <c r="E8" s="43"/>
      <c r="F8" s="43"/>
      <c r="G8" s="43"/>
    </row>
    <row r="9" spans="4:8" ht="15">
      <c r="D9" s="47"/>
      <c r="E9" s="47"/>
      <c r="F9" s="47"/>
      <c r="G9" s="47"/>
      <c r="H9" s="47"/>
    </row>
    <row r="10" spans="3:8" ht="21">
      <c r="C10" s="48" t="s">
        <v>61</v>
      </c>
      <c r="D10" s="47"/>
      <c r="E10" s="47"/>
      <c r="F10" s="47"/>
      <c r="G10" s="47"/>
      <c r="H10" s="47"/>
    </row>
    <row r="11" s="48" customFormat="1" ht="34.5" customHeight="1">
      <c r="H11" s="61" t="s">
        <v>20</v>
      </c>
    </row>
    <row r="12" spans="3:8" s="50" customFormat="1" ht="40.5">
      <c r="C12" s="49" t="s">
        <v>13</v>
      </c>
      <c r="D12" s="49" t="s">
        <v>14</v>
      </c>
      <c r="E12" s="49" t="s">
        <v>172</v>
      </c>
      <c r="F12" s="49" t="s">
        <v>15</v>
      </c>
      <c r="G12" s="49" t="s">
        <v>16</v>
      </c>
      <c r="H12" s="49" t="s">
        <v>11</v>
      </c>
    </row>
    <row r="13" spans="3:8" s="48" customFormat="1" ht="21">
      <c r="C13" s="145" t="s">
        <v>17</v>
      </c>
      <c r="D13" s="146"/>
      <c r="E13" s="146"/>
      <c r="F13" s="146"/>
      <c r="G13" s="146"/>
      <c r="H13" s="147"/>
    </row>
    <row r="14" spans="3:8" s="48" customFormat="1" ht="21">
      <c r="C14" s="15">
        <v>1</v>
      </c>
      <c r="D14" s="15" t="s">
        <v>18</v>
      </c>
      <c r="E14" s="51">
        <v>14039.81</v>
      </c>
      <c r="F14" s="51">
        <f>67363.8-127.85</f>
        <v>67235.95</v>
      </c>
      <c r="G14" s="51">
        <v>70025.58</v>
      </c>
      <c r="H14" s="51">
        <f>E14+F14-G14</f>
        <v>11250.179999999993</v>
      </c>
    </row>
    <row r="15" spans="3:8" s="48" customFormat="1" ht="21">
      <c r="C15" s="15">
        <v>2</v>
      </c>
      <c r="D15" s="15" t="s">
        <v>19</v>
      </c>
      <c r="E15" s="51">
        <v>4053.17</v>
      </c>
      <c r="F15" s="51">
        <v>19447.32</v>
      </c>
      <c r="G15" s="51">
        <v>20215.82</v>
      </c>
      <c r="H15" s="51">
        <f>E15+F15-G15</f>
        <v>3284.6699999999983</v>
      </c>
    </row>
    <row r="16" spans="3:8" s="48" customFormat="1" ht="41.25">
      <c r="C16" s="15"/>
      <c r="D16" s="52" t="s">
        <v>0</v>
      </c>
      <c r="E16" s="53">
        <f>SUM(E14:E15)</f>
        <v>18092.98</v>
      </c>
      <c r="F16" s="53">
        <f>SUM(F14:F15)</f>
        <v>86683.26999999999</v>
      </c>
      <c r="G16" s="53">
        <f>SUM(G14:G15)</f>
        <v>90241.4</v>
      </c>
      <c r="H16" s="53">
        <f>SUM(H14:H15)</f>
        <v>14534.849999999991</v>
      </c>
    </row>
    <row r="17" spans="3:8" s="48" customFormat="1" ht="21">
      <c r="C17" s="145" t="s">
        <v>21</v>
      </c>
      <c r="D17" s="146"/>
      <c r="E17" s="146"/>
      <c r="F17" s="146"/>
      <c r="G17" s="146"/>
      <c r="H17" s="147"/>
    </row>
    <row r="18" spans="3:8" s="48" customFormat="1" ht="21">
      <c r="C18" s="15">
        <v>3</v>
      </c>
      <c r="D18" s="15" t="s">
        <v>1</v>
      </c>
      <c r="E18" s="51">
        <v>61096.17</v>
      </c>
      <c r="F18" s="55">
        <f>295906.2-880.79-798.6</f>
        <v>294226.81000000006</v>
      </c>
      <c r="G18" s="55">
        <v>307029.94</v>
      </c>
      <c r="H18" s="55">
        <f>E18+F18-G18</f>
        <v>48293.04000000004</v>
      </c>
    </row>
    <row r="19" spans="3:8" s="48" customFormat="1" ht="21">
      <c r="C19" s="15">
        <v>4</v>
      </c>
      <c r="D19" s="56" t="s">
        <v>2</v>
      </c>
      <c r="E19" s="57">
        <v>11417.58</v>
      </c>
      <c r="F19" s="55">
        <f>41417.33-3207.72</f>
        <v>38209.61</v>
      </c>
      <c r="G19" s="55">
        <v>41890.75</v>
      </c>
      <c r="H19" s="55">
        <f>E19+F19-G19</f>
        <v>7736.440000000002</v>
      </c>
    </row>
    <row r="20" spans="3:8" s="48" customFormat="1" ht="21" hidden="1">
      <c r="C20" s="15">
        <v>5</v>
      </c>
      <c r="D20" s="56" t="s">
        <v>7</v>
      </c>
      <c r="E20" s="57"/>
      <c r="F20" s="55"/>
      <c r="G20" s="55"/>
      <c r="H20" s="55">
        <f>E20+F20-G20</f>
        <v>0</v>
      </c>
    </row>
    <row r="21" spans="3:8" s="48" customFormat="1" ht="21" hidden="1">
      <c r="C21" s="15">
        <v>5</v>
      </c>
      <c r="D21" s="56" t="s">
        <v>7</v>
      </c>
      <c r="E21" s="57"/>
      <c r="F21" s="55"/>
      <c r="G21" s="55"/>
      <c r="H21" s="55">
        <f>E21+F21-G21</f>
        <v>0</v>
      </c>
    </row>
    <row r="22" spans="3:8" s="48" customFormat="1" ht="21">
      <c r="C22" s="15">
        <v>5</v>
      </c>
      <c r="D22" s="56" t="s">
        <v>3</v>
      </c>
      <c r="E22" s="57">
        <v>6520.28</v>
      </c>
      <c r="F22" s="55">
        <f>25100.93-1756.84</f>
        <v>23344.09</v>
      </c>
      <c r="G22" s="55">
        <v>25055.66</v>
      </c>
      <c r="H22" s="55">
        <f>E22+F22-G22</f>
        <v>4808.709999999999</v>
      </c>
    </row>
    <row r="23" spans="3:8" s="48" customFormat="1" ht="41.25" hidden="1">
      <c r="C23" s="15">
        <v>7</v>
      </c>
      <c r="D23" s="56" t="s">
        <v>4</v>
      </c>
      <c r="E23" s="57"/>
      <c r="F23" s="55"/>
      <c r="G23" s="55"/>
      <c r="H23" s="55"/>
    </row>
    <row r="24" spans="3:8" s="48" customFormat="1" ht="41.25">
      <c r="C24" s="15"/>
      <c r="D24" s="52" t="s">
        <v>5</v>
      </c>
      <c r="E24" s="53">
        <f>SUM(E18:E23)</f>
        <v>79034.03</v>
      </c>
      <c r="F24" s="53">
        <f>SUM(F18:F23)</f>
        <v>355780.51000000007</v>
      </c>
      <c r="G24" s="53">
        <f>SUM(G18:G23)</f>
        <v>373976.35</v>
      </c>
      <c r="H24" s="53">
        <f>SUM(H18:H23)</f>
        <v>60838.19000000004</v>
      </c>
    </row>
    <row r="25" spans="3:8" s="48" customFormat="1" ht="41.25">
      <c r="C25" s="15"/>
      <c r="D25" s="52" t="s">
        <v>6</v>
      </c>
      <c r="E25" s="53">
        <f>E16+E24</f>
        <v>97127.01</v>
      </c>
      <c r="F25" s="53">
        <f>F16+F24</f>
        <v>442463.78</v>
      </c>
      <c r="G25" s="53">
        <f>G16+G24</f>
        <v>464217.75</v>
      </c>
      <c r="H25" s="53">
        <f>H16+H24</f>
        <v>75373.04000000004</v>
      </c>
    </row>
    <row r="26" spans="3:8" s="48" customFormat="1" ht="21">
      <c r="C26" s="58"/>
      <c r="D26" s="59"/>
      <c r="E26" s="59"/>
      <c r="F26" s="60"/>
      <c r="G26" s="60"/>
      <c r="H26" s="60"/>
    </row>
    <row r="27" spans="3:8" s="48" customFormat="1" ht="21">
      <c r="C27" s="58"/>
      <c r="D27" s="59"/>
      <c r="E27" s="59"/>
      <c r="F27" s="60"/>
      <c r="G27" s="60"/>
      <c r="H27" s="60"/>
    </row>
    <row r="28" spans="7:8" s="48" customFormat="1" ht="21">
      <c r="G28" s="61"/>
      <c r="H28" s="61" t="s">
        <v>22</v>
      </c>
    </row>
    <row r="29" spans="3:8" s="48" customFormat="1" ht="25.5">
      <c r="C29" s="148" t="s">
        <v>259</v>
      </c>
      <c r="D29" s="149"/>
      <c r="E29" s="149"/>
      <c r="F29" s="149"/>
      <c r="G29" s="149"/>
      <c r="H29" s="150"/>
    </row>
    <row r="30" spans="3:8" s="48" customFormat="1" ht="63">
      <c r="C30" s="151" t="s">
        <v>260</v>
      </c>
      <c r="D30" s="152"/>
      <c r="E30" s="152"/>
      <c r="F30" s="153"/>
      <c r="G30" s="49" t="s">
        <v>23</v>
      </c>
      <c r="H30" s="62" t="s">
        <v>232</v>
      </c>
    </row>
    <row r="31" spans="3:8" s="48" customFormat="1" ht="189.75" customHeight="1">
      <c r="C31" s="178" t="s">
        <v>265</v>
      </c>
      <c r="D31" s="179"/>
      <c r="E31" s="179"/>
      <c r="F31" s="180"/>
      <c r="G31" s="65">
        <f>F14</f>
        <v>67235.95</v>
      </c>
      <c r="H31" s="65">
        <f>H14</f>
        <v>11250.179999999993</v>
      </c>
    </row>
    <row r="32" spans="3:8" s="48" customFormat="1" ht="25.5">
      <c r="C32" s="148" t="s">
        <v>258</v>
      </c>
      <c r="D32" s="149"/>
      <c r="E32" s="149"/>
      <c r="F32" s="149"/>
      <c r="G32" s="149"/>
      <c r="H32" s="150"/>
    </row>
    <row r="33" spans="3:8" s="48" customFormat="1" ht="63">
      <c r="C33" s="181" t="s">
        <v>261</v>
      </c>
      <c r="D33" s="182"/>
      <c r="E33" s="164" t="s">
        <v>260</v>
      </c>
      <c r="F33" s="165"/>
      <c r="G33" s="166"/>
      <c r="H33" s="111" t="s">
        <v>262</v>
      </c>
    </row>
    <row r="34" spans="3:8" s="48" customFormat="1" ht="21">
      <c r="C34" s="122"/>
      <c r="D34" s="123">
        <v>4049.88</v>
      </c>
      <c r="E34" s="186" t="s">
        <v>94</v>
      </c>
      <c r="F34" s="168"/>
      <c r="G34" s="57">
        <v>154.47</v>
      </c>
      <c r="H34" s="51"/>
    </row>
    <row r="35" spans="3:8" s="48" customFormat="1" ht="21">
      <c r="C35" s="118"/>
      <c r="D35" s="125"/>
      <c r="E35" s="185" t="s">
        <v>229</v>
      </c>
      <c r="F35" s="170"/>
      <c r="G35" s="83">
        <f>SUM(G34:G34)</f>
        <v>154.47</v>
      </c>
      <c r="H35" s="91">
        <f>G15-G35</f>
        <v>20061.35</v>
      </c>
    </row>
    <row r="36" spans="3:8" s="48" customFormat="1" ht="21">
      <c r="C36" s="72"/>
      <c r="D36" s="114"/>
      <c r="E36" s="185" t="s">
        <v>230</v>
      </c>
      <c r="F36" s="170"/>
      <c r="G36" s="83"/>
      <c r="H36" s="91">
        <f>H35+D34</f>
        <v>24111.23</v>
      </c>
    </row>
    <row r="37" spans="3:8" s="48" customFormat="1" ht="21">
      <c r="C37" s="116">
        <v>3</v>
      </c>
      <c r="D37" s="115" t="s">
        <v>24</v>
      </c>
      <c r="E37" s="52"/>
      <c r="F37" s="86" t="s">
        <v>205</v>
      </c>
      <c r="G37" s="66"/>
      <c r="H37" s="15"/>
    </row>
    <row r="38" spans="3:8" s="48" customFormat="1" ht="21">
      <c r="C38" s="159"/>
      <c r="D38" s="157"/>
      <c r="E38" s="69"/>
      <c r="F38" s="76" t="s">
        <v>211</v>
      </c>
      <c r="G38" s="66"/>
      <c r="H38" s="15"/>
    </row>
    <row r="39" spans="3:8" s="48" customFormat="1" ht="37.5">
      <c r="C39" s="158"/>
      <c r="D39" s="158"/>
      <c r="E39" s="70"/>
      <c r="F39" s="86" t="s">
        <v>218</v>
      </c>
      <c r="G39" s="66"/>
      <c r="H39" s="15"/>
    </row>
    <row r="40" spans="3:8" s="48" customFormat="1" ht="21">
      <c r="C40" s="161"/>
      <c r="D40" s="161"/>
      <c r="E40" s="71"/>
      <c r="F40" s="86"/>
      <c r="G40" s="66"/>
      <c r="H40" s="15"/>
    </row>
    <row r="41" spans="3:8" s="48" customFormat="1" ht="21">
      <c r="C41" s="90"/>
      <c r="D41" s="90"/>
      <c r="E41" s="90"/>
      <c r="F41" s="86"/>
      <c r="G41" s="66"/>
      <c r="H41" s="15"/>
    </row>
    <row r="42" s="81" customFormat="1" ht="21">
      <c r="C42" s="48"/>
    </row>
    <row r="43" spans="4:7" s="79" customFormat="1" ht="26.25">
      <c r="D43" s="43"/>
      <c r="E43" s="43"/>
      <c r="F43" s="45"/>
      <c r="G43" s="45"/>
    </row>
    <row r="44" spans="4:5" ht="26.25">
      <c r="D44" s="43"/>
      <c r="E44" s="43"/>
    </row>
  </sheetData>
  <sheetProtection/>
  <mergeCells count="13">
    <mergeCell ref="E35:F35"/>
    <mergeCell ref="C13:H13"/>
    <mergeCell ref="C17:H17"/>
    <mergeCell ref="C38:C40"/>
    <mergeCell ref="D38:D40"/>
    <mergeCell ref="E36:F36"/>
    <mergeCell ref="C29:H29"/>
    <mergeCell ref="C30:F30"/>
    <mergeCell ref="C31:F31"/>
    <mergeCell ref="C32:H32"/>
    <mergeCell ref="C33:D33"/>
    <mergeCell ref="E33:G33"/>
    <mergeCell ref="E34:F34"/>
  </mergeCells>
  <printOptions/>
  <pageMargins left="0.25" right="0.25" top="0.75" bottom="0.75" header="0.3" footer="0.3"/>
  <pageSetup horizontalDpi="600" verticalDpi="600" orientation="landscape" paperSize="9" scale="70" r:id="rId2"/>
  <rowBreaks count="1" manualBreakCount="1">
    <brk id="27" min="2" max="7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H45"/>
  <sheetViews>
    <sheetView view="pageBreakPreview" zoomScale="73" zoomScaleSheetLayoutView="73" zoomScalePageLayoutView="0" workbookViewId="0" topLeftCell="A33">
      <selection activeCell="D44" sqref="D44:F45"/>
    </sheetView>
  </sheetViews>
  <sheetFormatPr defaultColWidth="9.140625" defaultRowHeight="15"/>
  <cols>
    <col min="3" max="3" width="9.00390625" style="0" customWidth="1"/>
    <col min="4" max="4" width="45.28125" style="0" customWidth="1"/>
    <col min="5" max="5" width="37.8515625" style="0" customWidth="1"/>
    <col min="6" max="6" width="44.421875" style="0" customWidth="1"/>
    <col min="7" max="7" width="34.140625" style="0" customWidth="1"/>
    <col min="8" max="8" width="31.57421875" style="0" customWidth="1"/>
  </cols>
  <sheetData>
    <row r="1" spans="4:7" s="1" customFormat="1" ht="28.5">
      <c r="D1" s="21" t="s">
        <v>26</v>
      </c>
      <c r="E1" s="21"/>
      <c r="F1" s="21"/>
      <c r="G1" s="21"/>
    </row>
    <row r="2" spans="4:7" s="1" customFormat="1" ht="28.5">
      <c r="D2" s="21" t="s">
        <v>27</v>
      </c>
      <c r="E2" s="21"/>
      <c r="F2" s="21"/>
      <c r="G2" s="21"/>
    </row>
    <row r="3" spans="4:8" ht="18.75">
      <c r="D3" s="2" t="s">
        <v>28</v>
      </c>
      <c r="E3" s="2"/>
      <c r="F3" s="2"/>
      <c r="G3" s="2"/>
      <c r="H3" s="7"/>
    </row>
    <row r="4" spans="4:8" ht="18.75">
      <c r="D4" s="2" t="s">
        <v>29</v>
      </c>
      <c r="E4" s="2"/>
      <c r="F4" s="2"/>
      <c r="G4" s="2"/>
      <c r="H4" s="7"/>
    </row>
    <row r="5" spans="4:8" ht="15">
      <c r="D5" s="7"/>
      <c r="E5" s="7"/>
      <c r="F5" s="7"/>
      <c r="G5" s="7"/>
      <c r="H5" s="7"/>
    </row>
    <row r="6" spans="4:7" s="3" customFormat="1" ht="26.25">
      <c r="D6" s="1" t="s">
        <v>30</v>
      </c>
      <c r="E6" s="1"/>
      <c r="F6" s="1"/>
      <c r="G6" s="1"/>
    </row>
    <row r="7" spans="4:7" s="3" customFormat="1" ht="26.25">
      <c r="D7" s="1" t="s">
        <v>62</v>
      </c>
      <c r="E7" s="1"/>
      <c r="F7" s="1"/>
      <c r="G7" s="1"/>
    </row>
    <row r="8" spans="4:7" s="3" customFormat="1" ht="26.25">
      <c r="D8" s="1" t="s">
        <v>90</v>
      </c>
      <c r="E8" s="1"/>
      <c r="F8" s="1"/>
      <c r="G8" s="1"/>
    </row>
    <row r="9" spans="4:8" ht="15">
      <c r="D9" s="7"/>
      <c r="E9" s="7"/>
      <c r="F9" s="7"/>
      <c r="G9" s="7"/>
      <c r="H9" s="7"/>
    </row>
    <row r="10" spans="3:8" ht="21">
      <c r="C10" s="3" t="s">
        <v>63</v>
      </c>
      <c r="D10" s="7"/>
      <c r="E10" s="7"/>
      <c r="F10" s="7"/>
      <c r="G10" s="7"/>
      <c r="H10" s="7"/>
    </row>
    <row r="11" s="3" customFormat="1" ht="34.5" customHeight="1">
      <c r="H11" s="8" t="s">
        <v>20</v>
      </c>
    </row>
    <row r="12" spans="3:8" s="10" customFormat="1" ht="40.5">
      <c r="C12" s="9" t="s">
        <v>13</v>
      </c>
      <c r="D12" s="9" t="s">
        <v>14</v>
      </c>
      <c r="E12" s="9" t="s">
        <v>172</v>
      </c>
      <c r="F12" s="9" t="s">
        <v>15</v>
      </c>
      <c r="G12" s="9" t="s">
        <v>16</v>
      </c>
      <c r="H12" s="9" t="s">
        <v>11</v>
      </c>
    </row>
    <row r="13" spans="3:8" s="3" customFormat="1" ht="21">
      <c r="C13" s="198" t="s">
        <v>17</v>
      </c>
      <c r="D13" s="199"/>
      <c r="E13" s="199"/>
      <c r="F13" s="199"/>
      <c r="G13" s="199"/>
      <c r="H13" s="200"/>
    </row>
    <row r="14" spans="3:8" s="3" customFormat="1" ht="21">
      <c r="C14" s="11">
        <v>1</v>
      </c>
      <c r="D14" s="11" t="s">
        <v>18</v>
      </c>
      <c r="E14" s="31">
        <v>19267.73</v>
      </c>
      <c r="F14" s="31">
        <f>91987.2-330.61</f>
        <v>91656.59</v>
      </c>
      <c r="G14" s="31">
        <v>86193</v>
      </c>
      <c r="H14" s="31">
        <f>E14+F14-G14</f>
        <v>24731.319999999992</v>
      </c>
    </row>
    <row r="15" spans="3:8" s="3" customFormat="1" ht="21">
      <c r="C15" s="11">
        <v>2</v>
      </c>
      <c r="D15" s="11" t="s">
        <v>19</v>
      </c>
      <c r="E15" s="31">
        <v>5555.57</v>
      </c>
      <c r="F15" s="31">
        <f>26555.52-88.66-13298</f>
        <v>13168.86</v>
      </c>
      <c r="G15" s="31">
        <v>24882.82</v>
      </c>
      <c r="H15" s="31">
        <f>E15+F15-G15</f>
        <v>-6158.389999999999</v>
      </c>
    </row>
    <row r="16" spans="3:8" s="3" customFormat="1" ht="21" hidden="1">
      <c r="C16" s="11"/>
      <c r="D16" s="11" t="s">
        <v>250</v>
      </c>
      <c r="E16" s="31"/>
      <c r="F16" s="31"/>
      <c r="G16" s="31"/>
      <c r="H16" s="31">
        <f>E16+F16-G16</f>
        <v>0</v>
      </c>
    </row>
    <row r="17" spans="3:8" s="3" customFormat="1" ht="33" customHeight="1">
      <c r="C17" s="11"/>
      <c r="D17" s="4" t="s">
        <v>0</v>
      </c>
      <c r="E17" s="32">
        <f>SUM(E14:E15)</f>
        <v>24823.3</v>
      </c>
      <c r="F17" s="32">
        <f>SUM(F14:F16)</f>
        <v>104825.45</v>
      </c>
      <c r="G17" s="32">
        <f>SUM(G14:G16)</f>
        <v>111075.82</v>
      </c>
      <c r="H17" s="32">
        <f>SUM(H14:H16)</f>
        <v>18572.929999999993</v>
      </c>
    </row>
    <row r="18" spans="3:8" s="3" customFormat="1" ht="21">
      <c r="C18" s="198" t="s">
        <v>21</v>
      </c>
      <c r="D18" s="199"/>
      <c r="E18" s="199"/>
      <c r="F18" s="199"/>
      <c r="G18" s="199"/>
      <c r="H18" s="200"/>
    </row>
    <row r="19" spans="3:8" s="3" customFormat="1" ht="21">
      <c r="C19" s="11">
        <v>3</v>
      </c>
      <c r="D19" s="11" t="s">
        <v>1</v>
      </c>
      <c r="E19" s="31">
        <v>82377.12</v>
      </c>
      <c r="F19" s="34">
        <v>404064.84</v>
      </c>
      <c r="G19" s="34">
        <v>377898.13</v>
      </c>
      <c r="H19" s="34">
        <f>E19+F19-G19</f>
        <v>108543.83000000002</v>
      </c>
    </row>
    <row r="20" spans="3:8" s="3" customFormat="1" ht="21">
      <c r="C20" s="11">
        <v>4</v>
      </c>
      <c r="D20" s="14" t="s">
        <v>2</v>
      </c>
      <c r="E20" s="35">
        <v>11263.4</v>
      </c>
      <c r="F20" s="34">
        <v>57371.99</v>
      </c>
      <c r="G20" s="34">
        <f>52453.4-1144.17</f>
        <v>51309.23</v>
      </c>
      <c r="H20" s="34">
        <f>E20+F20-G20</f>
        <v>17326.159999999996</v>
      </c>
    </row>
    <row r="21" spans="3:8" s="3" customFormat="1" ht="21" hidden="1">
      <c r="C21" s="15">
        <v>5</v>
      </c>
      <c r="D21" s="14" t="s">
        <v>7</v>
      </c>
      <c r="E21" s="35"/>
      <c r="F21" s="34"/>
      <c r="G21" s="34"/>
      <c r="H21" s="34">
        <f>E21+F21-G21</f>
        <v>0</v>
      </c>
    </row>
    <row r="22" spans="3:8" s="3" customFormat="1" ht="21">
      <c r="C22" s="15">
        <v>5</v>
      </c>
      <c r="D22" s="14" t="s">
        <v>3</v>
      </c>
      <c r="E22" s="35">
        <v>6417.42</v>
      </c>
      <c r="F22" s="34">
        <v>34656.38</v>
      </c>
      <c r="G22" s="34">
        <f>30952.63-624.01</f>
        <v>30328.620000000003</v>
      </c>
      <c r="H22" s="34">
        <f>E22+F22-G22</f>
        <v>10745.179999999993</v>
      </c>
    </row>
    <row r="23" spans="3:8" s="3" customFormat="1" ht="21" hidden="1">
      <c r="C23" s="15">
        <v>7</v>
      </c>
      <c r="D23" s="14" t="s">
        <v>4</v>
      </c>
      <c r="E23" s="35"/>
      <c r="F23" s="34"/>
      <c r="G23" s="34"/>
      <c r="H23" s="34">
        <f>F23-G23</f>
        <v>0</v>
      </c>
    </row>
    <row r="24" spans="3:8" s="3" customFormat="1" ht="41.25">
      <c r="C24" s="11"/>
      <c r="D24" s="4" t="s">
        <v>5</v>
      </c>
      <c r="E24" s="32">
        <f>SUM(E19:E23)</f>
        <v>100057.93999999999</v>
      </c>
      <c r="F24" s="32">
        <f>SUM(F19:F23)</f>
        <v>496093.21</v>
      </c>
      <c r="G24" s="32">
        <f>SUM(G19:G23)</f>
        <v>459535.98</v>
      </c>
      <c r="H24" s="32">
        <f>SUM(H19:H23)</f>
        <v>136615.17</v>
      </c>
    </row>
    <row r="25" spans="3:8" s="3" customFormat="1" ht="41.25">
      <c r="C25" s="11"/>
      <c r="D25" s="4" t="s">
        <v>6</v>
      </c>
      <c r="E25" s="32">
        <f>E17+E24</f>
        <v>124881.23999999999</v>
      </c>
      <c r="F25" s="32">
        <f>F17+F24</f>
        <v>600918.66</v>
      </c>
      <c r="G25" s="32">
        <f>G17+G24</f>
        <v>570611.8</v>
      </c>
      <c r="H25" s="32">
        <f>H17+H24</f>
        <v>155188.1</v>
      </c>
    </row>
    <row r="26" spans="3:8" s="3" customFormat="1" ht="21">
      <c r="C26" s="16"/>
      <c r="D26" s="17"/>
      <c r="E26" s="17"/>
      <c r="F26" s="18"/>
      <c r="G26" s="18"/>
      <c r="H26" s="18"/>
    </row>
    <row r="27" spans="3:8" s="3" customFormat="1" ht="21">
      <c r="C27" s="16"/>
      <c r="D27" s="17"/>
      <c r="E27" s="17"/>
      <c r="F27" s="18"/>
      <c r="G27" s="18"/>
      <c r="H27" s="18"/>
    </row>
    <row r="28" spans="7:8" s="3" customFormat="1" ht="21">
      <c r="G28" s="8"/>
      <c r="H28" s="8" t="s">
        <v>22</v>
      </c>
    </row>
    <row r="29" spans="3:8" s="3" customFormat="1" ht="25.5">
      <c r="C29" s="148" t="s">
        <v>259</v>
      </c>
      <c r="D29" s="149"/>
      <c r="E29" s="149"/>
      <c r="F29" s="149"/>
      <c r="G29" s="149"/>
      <c r="H29" s="150"/>
    </row>
    <row r="30" spans="3:8" s="3" customFormat="1" ht="42">
      <c r="C30" s="151" t="s">
        <v>260</v>
      </c>
      <c r="D30" s="152"/>
      <c r="E30" s="152"/>
      <c r="F30" s="153"/>
      <c r="G30" s="49" t="s">
        <v>23</v>
      </c>
      <c r="H30" s="62" t="s">
        <v>232</v>
      </c>
    </row>
    <row r="31" spans="3:8" s="3" customFormat="1" ht="175.5" customHeight="1">
      <c r="C31" s="178" t="s">
        <v>265</v>
      </c>
      <c r="D31" s="179"/>
      <c r="E31" s="179"/>
      <c r="F31" s="180"/>
      <c r="G31" s="65">
        <f>F14</f>
        <v>91656.59</v>
      </c>
      <c r="H31" s="65">
        <f>H14</f>
        <v>24731.319999999992</v>
      </c>
    </row>
    <row r="32" spans="3:8" s="3" customFormat="1" ht="25.5">
      <c r="C32" s="148" t="s">
        <v>258</v>
      </c>
      <c r="D32" s="149"/>
      <c r="E32" s="149"/>
      <c r="F32" s="149"/>
      <c r="G32" s="149"/>
      <c r="H32" s="150"/>
    </row>
    <row r="33" spans="3:8" s="3" customFormat="1" ht="63">
      <c r="C33" s="181" t="s">
        <v>261</v>
      </c>
      <c r="D33" s="182"/>
      <c r="E33" s="164" t="s">
        <v>260</v>
      </c>
      <c r="F33" s="165"/>
      <c r="G33" s="166"/>
      <c r="H33" s="111" t="s">
        <v>262</v>
      </c>
    </row>
    <row r="34" spans="3:8" s="3" customFormat="1" ht="21">
      <c r="C34" s="136"/>
      <c r="D34" s="131">
        <v>5523.46</v>
      </c>
      <c r="E34" s="194" t="s">
        <v>128</v>
      </c>
      <c r="F34" s="195"/>
      <c r="G34" s="35">
        <v>487.4</v>
      </c>
      <c r="H34" s="31"/>
    </row>
    <row r="35" spans="3:8" s="3" customFormat="1" ht="21">
      <c r="C35" s="129"/>
      <c r="D35" s="132"/>
      <c r="E35" s="194" t="s">
        <v>129</v>
      </c>
      <c r="F35" s="195"/>
      <c r="G35" s="35">
        <v>36.45</v>
      </c>
      <c r="H35" s="31"/>
    </row>
    <row r="36" spans="3:8" s="3" customFormat="1" ht="21">
      <c r="C36" s="129"/>
      <c r="D36" s="132"/>
      <c r="E36" s="208" t="s">
        <v>269</v>
      </c>
      <c r="F36" s="209"/>
      <c r="G36" s="35">
        <v>13298</v>
      </c>
      <c r="H36" s="31"/>
    </row>
    <row r="37" spans="3:8" s="3" customFormat="1" ht="21">
      <c r="C37" s="129"/>
      <c r="D37" s="133"/>
      <c r="E37" s="192" t="s">
        <v>229</v>
      </c>
      <c r="F37" s="193"/>
      <c r="G37" s="36">
        <f>SUM(G34:G36)</f>
        <v>13821.85</v>
      </c>
      <c r="H37" s="37">
        <f>G15-G37</f>
        <v>11060.97</v>
      </c>
    </row>
    <row r="38" spans="3:8" s="3" customFormat="1" ht="21">
      <c r="C38" s="130"/>
      <c r="D38" s="134"/>
      <c r="E38" s="137"/>
      <c r="F38" s="20" t="s">
        <v>230</v>
      </c>
      <c r="G38" s="36"/>
      <c r="H38" s="37">
        <f>H37+D34</f>
        <v>16584.43</v>
      </c>
    </row>
    <row r="39" spans="3:8" s="3" customFormat="1" ht="21">
      <c r="C39" s="135">
        <v>3</v>
      </c>
      <c r="D39" s="126" t="s">
        <v>24</v>
      </c>
      <c r="E39" s="4"/>
      <c r="F39" s="22" t="s">
        <v>39</v>
      </c>
      <c r="G39" s="19"/>
      <c r="H39" s="11"/>
    </row>
    <row r="40" spans="3:8" s="3" customFormat="1" ht="21">
      <c r="C40" s="201"/>
      <c r="D40" s="204"/>
      <c r="E40" s="26"/>
      <c r="F40" s="22" t="s">
        <v>40</v>
      </c>
      <c r="G40" s="19"/>
      <c r="H40" s="11"/>
    </row>
    <row r="41" spans="3:8" s="3" customFormat="1" ht="21">
      <c r="C41" s="202"/>
      <c r="D41" s="202"/>
      <c r="E41" s="27"/>
      <c r="F41" s="24"/>
      <c r="G41" s="19"/>
      <c r="H41" s="11"/>
    </row>
    <row r="42" spans="3:8" s="3" customFormat="1" ht="21">
      <c r="C42" s="23"/>
      <c r="D42" s="23"/>
      <c r="E42" s="23"/>
      <c r="F42" s="24"/>
      <c r="G42" s="19"/>
      <c r="H42" s="11"/>
    </row>
    <row r="43" s="6" customFormat="1" ht="21">
      <c r="C43" s="3"/>
    </row>
    <row r="44" spans="4:7" s="5" customFormat="1" ht="26.25">
      <c r="D44" s="1"/>
      <c r="E44" s="1"/>
      <c r="F44"/>
      <c r="G44"/>
    </row>
    <row r="45" spans="4:5" ht="26.25">
      <c r="D45" s="1"/>
      <c r="E45" s="1"/>
    </row>
  </sheetData>
  <sheetProtection/>
  <mergeCells count="14">
    <mergeCell ref="C40:C41"/>
    <mergeCell ref="D40:D41"/>
    <mergeCell ref="E36:F36"/>
    <mergeCell ref="C29:H29"/>
    <mergeCell ref="C30:F30"/>
    <mergeCell ref="C31:F31"/>
    <mergeCell ref="C32:H32"/>
    <mergeCell ref="C33:D33"/>
    <mergeCell ref="E33:G33"/>
    <mergeCell ref="E34:F34"/>
    <mergeCell ref="E35:F35"/>
    <mergeCell ref="E37:F37"/>
    <mergeCell ref="C13:H13"/>
    <mergeCell ref="C18:H18"/>
  </mergeCells>
  <printOptions/>
  <pageMargins left="0.25" right="0.25" top="0.75" bottom="0.75" header="0.3" footer="0.3"/>
  <pageSetup horizontalDpi="600" verticalDpi="600" orientation="landscape" paperSize="9" scale="70" r:id="rId2"/>
  <rowBreaks count="1" manualBreakCount="1">
    <brk id="27" min="2" max="7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I49"/>
  <sheetViews>
    <sheetView view="pageBreakPreview" zoomScale="73" zoomScaleSheetLayoutView="73" zoomScalePageLayoutView="0" workbookViewId="0" topLeftCell="A42">
      <selection activeCell="D48" sqref="D48:F49"/>
    </sheetView>
  </sheetViews>
  <sheetFormatPr defaultColWidth="9.140625" defaultRowHeight="15"/>
  <cols>
    <col min="1" max="2" width="9.140625" style="45" customWidth="1"/>
    <col min="3" max="3" width="9.00390625" style="45" customWidth="1"/>
    <col min="4" max="5" width="37.8515625" style="45" customWidth="1"/>
    <col min="6" max="6" width="44.421875" style="45" customWidth="1"/>
    <col min="7" max="7" width="34.140625" style="45" customWidth="1"/>
    <col min="8" max="8" width="40.00390625" style="45" customWidth="1"/>
    <col min="9" max="9" width="17.140625" style="45" customWidth="1"/>
    <col min="10" max="16384" width="9.140625" style="45" customWidth="1"/>
  </cols>
  <sheetData>
    <row r="1" spans="4:7" s="43" customFormat="1" ht="28.5">
      <c r="D1" s="44" t="s">
        <v>26</v>
      </c>
      <c r="E1" s="44"/>
      <c r="F1" s="44"/>
      <c r="G1" s="44"/>
    </row>
    <row r="2" spans="4:7" s="43" customFormat="1" ht="28.5">
      <c r="D2" s="44" t="s">
        <v>27</v>
      </c>
      <c r="E2" s="44"/>
      <c r="F2" s="44"/>
      <c r="G2" s="44"/>
    </row>
    <row r="3" spans="4:8" ht="18.75">
      <c r="D3" s="46" t="s">
        <v>28</v>
      </c>
      <c r="E3" s="46"/>
      <c r="F3" s="46"/>
      <c r="G3" s="46"/>
      <c r="H3" s="47"/>
    </row>
    <row r="4" spans="4:8" ht="18.75">
      <c r="D4" s="46" t="s">
        <v>29</v>
      </c>
      <c r="E4" s="46"/>
      <c r="F4" s="46"/>
      <c r="G4" s="46"/>
      <c r="H4" s="47"/>
    </row>
    <row r="5" spans="4:8" ht="15">
      <c r="D5" s="47"/>
      <c r="E5" s="47"/>
      <c r="F5" s="47"/>
      <c r="G5" s="47"/>
      <c r="H5" s="47"/>
    </row>
    <row r="6" spans="4:7" s="48" customFormat="1" ht="26.25">
      <c r="D6" s="43" t="s">
        <v>30</v>
      </c>
      <c r="E6" s="43"/>
      <c r="F6" s="43"/>
      <c r="G6" s="43"/>
    </row>
    <row r="7" spans="4:7" s="48" customFormat="1" ht="26.25">
      <c r="D7" s="43" t="s">
        <v>64</v>
      </c>
      <c r="E7" s="43"/>
      <c r="F7" s="43"/>
      <c r="G7" s="43"/>
    </row>
    <row r="8" spans="4:7" s="48" customFormat="1" ht="26.25">
      <c r="D8" s="43" t="s">
        <v>90</v>
      </c>
      <c r="E8" s="43"/>
      <c r="F8" s="43"/>
      <c r="G8" s="43"/>
    </row>
    <row r="9" spans="4:8" ht="15">
      <c r="D9" s="47"/>
      <c r="E9" s="47"/>
      <c r="F9" s="47"/>
      <c r="G9" s="47"/>
      <c r="H9" s="47"/>
    </row>
    <row r="10" spans="3:8" ht="21">
      <c r="C10" s="48" t="s">
        <v>65</v>
      </c>
      <c r="D10" s="47"/>
      <c r="E10" s="47"/>
      <c r="F10" s="47"/>
      <c r="G10" s="47"/>
      <c r="H10" s="47"/>
    </row>
    <row r="11" s="48" customFormat="1" ht="34.5" customHeight="1">
      <c r="H11" s="61" t="s">
        <v>20</v>
      </c>
    </row>
    <row r="12" spans="3:8" s="50" customFormat="1" ht="40.5">
      <c r="C12" s="49" t="s">
        <v>13</v>
      </c>
      <c r="D12" s="49" t="s">
        <v>14</v>
      </c>
      <c r="E12" s="49" t="s">
        <v>172</v>
      </c>
      <c r="F12" s="49" t="s">
        <v>15</v>
      </c>
      <c r="G12" s="49" t="s">
        <v>16</v>
      </c>
      <c r="H12" s="49" t="s">
        <v>11</v>
      </c>
    </row>
    <row r="13" spans="3:8" s="48" customFormat="1" ht="21">
      <c r="C13" s="145" t="s">
        <v>17</v>
      </c>
      <c r="D13" s="146"/>
      <c r="E13" s="146"/>
      <c r="F13" s="146"/>
      <c r="G13" s="146"/>
      <c r="H13" s="147"/>
    </row>
    <row r="14" spans="3:8" s="48" customFormat="1" ht="21">
      <c r="C14" s="15">
        <v>1</v>
      </c>
      <c r="D14" s="15" t="s">
        <v>18</v>
      </c>
      <c r="E14" s="51">
        <v>9860.54</v>
      </c>
      <c r="F14" s="51">
        <v>79492.82</v>
      </c>
      <c r="G14" s="51">
        <v>88361.23</v>
      </c>
      <c r="H14" s="51">
        <f>E14+F14-G14</f>
        <v>992.1300000000192</v>
      </c>
    </row>
    <row r="15" spans="3:8" s="48" customFormat="1" ht="21">
      <c r="C15" s="15">
        <v>2</v>
      </c>
      <c r="D15" s="15" t="s">
        <v>19</v>
      </c>
      <c r="E15" s="51">
        <v>2846.46</v>
      </c>
      <c r="F15" s="51">
        <v>22650.06</v>
      </c>
      <c r="G15" s="51">
        <v>18688.34</v>
      </c>
      <c r="H15" s="51">
        <f>E15+F15-G15</f>
        <v>6808.18</v>
      </c>
    </row>
    <row r="16" spans="3:8" s="48" customFormat="1" ht="42">
      <c r="C16" s="15">
        <v>3</v>
      </c>
      <c r="D16" s="82" t="s">
        <v>186</v>
      </c>
      <c r="E16" s="51"/>
      <c r="F16" s="51">
        <f>1485.21+9459.09</f>
        <v>10944.3</v>
      </c>
      <c r="G16" s="51">
        <v>9110.74</v>
      </c>
      <c r="H16" s="51">
        <f>E16+F16-G16</f>
        <v>1833.5599999999995</v>
      </c>
    </row>
    <row r="17" spans="3:8" s="48" customFormat="1" ht="41.25">
      <c r="C17" s="15"/>
      <c r="D17" s="52" t="s">
        <v>0</v>
      </c>
      <c r="E17" s="53">
        <f>SUM(E14:E16)</f>
        <v>12707</v>
      </c>
      <c r="F17" s="53">
        <f>SUM(F14:F16)</f>
        <v>113087.18000000001</v>
      </c>
      <c r="G17" s="53">
        <f>SUM(G14:G16)</f>
        <v>116160.31</v>
      </c>
      <c r="H17" s="53">
        <f>SUM(H14:H16)</f>
        <v>9633.870000000019</v>
      </c>
    </row>
    <row r="18" spans="3:8" s="48" customFormat="1" ht="21">
      <c r="C18" s="145" t="s">
        <v>21</v>
      </c>
      <c r="D18" s="146"/>
      <c r="E18" s="146"/>
      <c r="F18" s="146"/>
      <c r="G18" s="146"/>
      <c r="H18" s="147"/>
    </row>
    <row r="19" spans="3:8" s="48" customFormat="1" ht="21">
      <c r="C19" s="15">
        <v>4</v>
      </c>
      <c r="D19" s="15" t="s">
        <v>1</v>
      </c>
      <c r="E19" s="51">
        <v>42977.32</v>
      </c>
      <c r="F19" s="55">
        <v>344644.86</v>
      </c>
      <c r="G19" s="55">
        <f>286585.2-4465.8</f>
        <v>282119.4</v>
      </c>
      <c r="H19" s="55">
        <f>E19+F19-G19</f>
        <v>105502.77999999997</v>
      </c>
    </row>
    <row r="20" spans="3:8" s="48" customFormat="1" ht="21">
      <c r="C20" s="15">
        <v>5</v>
      </c>
      <c r="D20" s="56" t="s">
        <v>2</v>
      </c>
      <c r="E20" s="57">
        <v>4758.79</v>
      </c>
      <c r="F20" s="55">
        <v>40872.7</v>
      </c>
      <c r="G20" s="55">
        <f>29727.97-626.41</f>
        <v>29101.56</v>
      </c>
      <c r="H20" s="55">
        <f>E20+F20-G20</f>
        <v>16529.929999999997</v>
      </c>
    </row>
    <row r="21" spans="3:8" s="48" customFormat="1" ht="21" hidden="1">
      <c r="C21" s="15">
        <v>5</v>
      </c>
      <c r="D21" s="56" t="s">
        <v>7</v>
      </c>
      <c r="E21" s="57"/>
      <c r="F21" s="55"/>
      <c r="G21" s="55"/>
      <c r="H21" s="55">
        <f>E21+F21-G21</f>
        <v>0</v>
      </c>
    </row>
    <row r="22" spans="3:8" s="48" customFormat="1" ht="21">
      <c r="C22" s="15">
        <v>6</v>
      </c>
      <c r="D22" s="56" t="s">
        <v>3</v>
      </c>
      <c r="E22" s="57">
        <v>2720.27</v>
      </c>
      <c r="F22" s="55">
        <v>24750.23</v>
      </c>
      <c r="G22" s="55">
        <v>17689.15</v>
      </c>
      <c r="H22" s="55">
        <f>E22+F22-G22</f>
        <v>9781.349999999999</v>
      </c>
    </row>
    <row r="23" spans="3:8" s="48" customFormat="1" ht="41.25" hidden="1">
      <c r="C23" s="15">
        <v>7</v>
      </c>
      <c r="D23" s="56" t="s">
        <v>4</v>
      </c>
      <c r="E23" s="57"/>
      <c r="F23" s="55"/>
      <c r="G23" s="55"/>
      <c r="H23" s="55">
        <f>E23+F23-G23</f>
        <v>0</v>
      </c>
    </row>
    <row r="24" spans="3:8" s="48" customFormat="1" ht="41.25">
      <c r="C24" s="15"/>
      <c r="D24" s="52" t="s">
        <v>5</v>
      </c>
      <c r="E24" s="53">
        <f>SUM(E19:E23)</f>
        <v>50456.38</v>
      </c>
      <c r="F24" s="53">
        <f>SUM(F19:F23)</f>
        <v>410267.79</v>
      </c>
      <c r="G24" s="53">
        <f>SUM(G19:G23)</f>
        <v>328910.11000000004</v>
      </c>
      <c r="H24" s="53">
        <f>SUM(H19:H23)</f>
        <v>131814.05999999997</v>
      </c>
    </row>
    <row r="25" spans="3:8" s="48" customFormat="1" ht="41.25">
      <c r="C25" s="15"/>
      <c r="D25" s="52" t="s">
        <v>6</v>
      </c>
      <c r="E25" s="53">
        <f>E17+E24</f>
        <v>63163.38</v>
      </c>
      <c r="F25" s="53">
        <f>F17+F24</f>
        <v>523354.97</v>
      </c>
      <c r="G25" s="53">
        <f>G17+G24</f>
        <v>445070.42000000004</v>
      </c>
      <c r="H25" s="53">
        <f>H17+H24</f>
        <v>141447.93</v>
      </c>
    </row>
    <row r="26" spans="3:9" s="48" customFormat="1" ht="21">
      <c r="C26" s="58"/>
      <c r="D26" s="59"/>
      <c r="E26" s="59"/>
      <c r="F26" s="60"/>
      <c r="G26" s="60"/>
      <c r="H26" s="60"/>
      <c r="I26" s="84"/>
    </row>
    <row r="27" spans="3:8" s="48" customFormat="1" ht="21">
      <c r="C27" s="58"/>
      <c r="D27" s="59"/>
      <c r="E27" s="59"/>
      <c r="F27" s="60"/>
      <c r="G27" s="60"/>
      <c r="H27" s="60"/>
    </row>
    <row r="28" spans="7:8" s="48" customFormat="1" ht="21">
      <c r="G28" s="61"/>
      <c r="H28" s="61" t="s">
        <v>22</v>
      </c>
    </row>
    <row r="29" spans="3:8" s="48" customFormat="1" ht="25.5">
      <c r="C29" s="148" t="s">
        <v>259</v>
      </c>
      <c r="D29" s="149"/>
      <c r="E29" s="149"/>
      <c r="F29" s="149"/>
      <c r="G29" s="149"/>
      <c r="H29" s="150"/>
    </row>
    <row r="30" spans="3:8" s="48" customFormat="1" ht="42">
      <c r="C30" s="151" t="s">
        <v>260</v>
      </c>
      <c r="D30" s="152"/>
      <c r="E30" s="152"/>
      <c r="F30" s="153"/>
      <c r="G30" s="49" t="s">
        <v>23</v>
      </c>
      <c r="H30" s="62" t="s">
        <v>232</v>
      </c>
    </row>
    <row r="31" spans="3:8" s="48" customFormat="1" ht="198" customHeight="1">
      <c r="C31" s="178" t="s">
        <v>265</v>
      </c>
      <c r="D31" s="179"/>
      <c r="E31" s="179"/>
      <c r="F31" s="180"/>
      <c r="G31" s="65">
        <f>F14</f>
        <v>79492.82</v>
      </c>
      <c r="H31" s="65">
        <f>H14</f>
        <v>992.1300000000192</v>
      </c>
    </row>
    <row r="32" spans="3:8" s="48" customFormat="1" ht="25.5">
      <c r="C32" s="148" t="s">
        <v>258</v>
      </c>
      <c r="D32" s="149"/>
      <c r="E32" s="149"/>
      <c r="F32" s="149"/>
      <c r="G32" s="149"/>
      <c r="H32" s="150"/>
    </row>
    <row r="33" spans="3:8" s="48" customFormat="1" ht="63">
      <c r="C33" s="181" t="s">
        <v>261</v>
      </c>
      <c r="D33" s="182"/>
      <c r="E33" s="164" t="s">
        <v>260</v>
      </c>
      <c r="F33" s="165"/>
      <c r="G33" s="166"/>
      <c r="H33" s="111" t="s">
        <v>262</v>
      </c>
    </row>
    <row r="34" spans="3:8" s="48" customFormat="1" ht="21">
      <c r="C34" s="122"/>
      <c r="D34" s="123">
        <v>6179.19</v>
      </c>
      <c r="E34" s="186" t="s">
        <v>93</v>
      </c>
      <c r="F34" s="168"/>
      <c r="G34" s="57">
        <v>154.47</v>
      </c>
      <c r="H34" s="51"/>
    </row>
    <row r="35" spans="3:8" s="48" customFormat="1" ht="21">
      <c r="C35" s="118"/>
      <c r="D35" s="124"/>
      <c r="E35" s="210"/>
      <c r="F35" s="211"/>
      <c r="G35" s="57"/>
      <c r="H35" s="51"/>
    </row>
    <row r="36" spans="3:8" s="48" customFormat="1" ht="21">
      <c r="C36" s="118"/>
      <c r="D36" s="125"/>
      <c r="E36" s="185" t="s">
        <v>229</v>
      </c>
      <c r="F36" s="170"/>
      <c r="G36" s="83">
        <f>SUM(G34:G35)</f>
        <v>154.47</v>
      </c>
      <c r="H36" s="91">
        <f>G15-G36</f>
        <v>18533.87</v>
      </c>
    </row>
    <row r="37" spans="3:8" s="48" customFormat="1" ht="21">
      <c r="C37" s="72"/>
      <c r="D37" s="114"/>
      <c r="E37" s="185" t="s">
        <v>230</v>
      </c>
      <c r="F37" s="170"/>
      <c r="G37" s="83"/>
      <c r="H37" s="91">
        <f>H36+D34</f>
        <v>24713.059999999998</v>
      </c>
    </row>
    <row r="38" spans="3:8" s="48" customFormat="1" ht="21">
      <c r="C38" s="116">
        <v>3</v>
      </c>
      <c r="D38" s="115" t="s">
        <v>24</v>
      </c>
      <c r="E38" s="52"/>
      <c r="F38" s="86" t="s">
        <v>205</v>
      </c>
      <c r="G38" s="66"/>
      <c r="H38" s="15"/>
    </row>
    <row r="39" spans="3:8" s="48" customFormat="1" ht="21">
      <c r="C39" s="159"/>
      <c r="D39" s="157"/>
      <c r="E39" s="69"/>
      <c r="F39" s="76" t="s">
        <v>39</v>
      </c>
      <c r="G39" s="66"/>
      <c r="H39" s="15"/>
    </row>
    <row r="40" spans="3:8" s="48" customFormat="1" ht="21">
      <c r="C40" s="158"/>
      <c r="D40" s="158"/>
      <c r="E40" s="70"/>
      <c r="F40" s="86" t="s">
        <v>10</v>
      </c>
      <c r="G40" s="66"/>
      <c r="H40" s="15"/>
    </row>
    <row r="41" spans="3:8" s="48" customFormat="1" ht="21">
      <c r="C41" s="158"/>
      <c r="D41" s="158"/>
      <c r="E41" s="70"/>
      <c r="F41" s="86" t="s">
        <v>214</v>
      </c>
      <c r="G41" s="66"/>
      <c r="H41" s="15"/>
    </row>
    <row r="42" spans="3:8" s="48" customFormat="1" ht="21">
      <c r="C42" s="158"/>
      <c r="D42" s="158"/>
      <c r="E42" s="70"/>
      <c r="F42" s="86" t="s">
        <v>215</v>
      </c>
      <c r="G42" s="66"/>
      <c r="H42" s="15"/>
    </row>
    <row r="43" spans="3:9" s="79" customFormat="1" ht="21">
      <c r="C43" s="90"/>
      <c r="D43" s="90"/>
      <c r="E43" s="90"/>
      <c r="F43" s="86"/>
      <c r="G43" s="66"/>
      <c r="H43" s="15"/>
      <c r="I43" s="61" t="s">
        <v>52</v>
      </c>
    </row>
    <row r="44" spans="3:9" ht="63">
      <c r="C44" s="49" t="s">
        <v>13</v>
      </c>
      <c r="D44" s="49" t="s">
        <v>55</v>
      </c>
      <c r="E44" s="49" t="s">
        <v>53</v>
      </c>
      <c r="F44" s="49" t="s">
        <v>189</v>
      </c>
      <c r="G44" s="49" t="s">
        <v>190</v>
      </c>
      <c r="H44" s="77" t="s">
        <v>185</v>
      </c>
      <c r="I44" s="78" t="s">
        <v>54</v>
      </c>
    </row>
    <row r="45" spans="3:9" ht="21">
      <c r="C45" s="15">
        <v>1</v>
      </c>
      <c r="D45" s="15" t="s">
        <v>192</v>
      </c>
      <c r="E45" s="51">
        <v>68193</v>
      </c>
      <c r="F45" s="51">
        <v>23441.22</v>
      </c>
      <c r="G45" s="51">
        <v>12672.68</v>
      </c>
      <c r="H45" s="80">
        <f>F45-G45</f>
        <v>10768.54</v>
      </c>
      <c r="I45" s="51">
        <f>E45-F45</f>
        <v>44751.78</v>
      </c>
    </row>
    <row r="46" spans="3:9" ht="21">
      <c r="C46" s="15"/>
      <c r="D46" s="15"/>
      <c r="E46" s="15"/>
      <c r="F46" s="15"/>
      <c r="G46" s="95"/>
      <c r="H46" s="15"/>
      <c r="I46" s="15"/>
    </row>
    <row r="48" spans="4:5" ht="26.25">
      <c r="D48" s="43"/>
      <c r="E48" s="43"/>
    </row>
    <row r="49" spans="4:5" ht="26.25">
      <c r="D49" s="43"/>
      <c r="E49" s="43"/>
    </row>
  </sheetData>
  <sheetProtection/>
  <mergeCells count="14">
    <mergeCell ref="C39:C42"/>
    <mergeCell ref="D39:D42"/>
    <mergeCell ref="E36:F36"/>
    <mergeCell ref="C29:H29"/>
    <mergeCell ref="C30:F30"/>
    <mergeCell ref="C31:F31"/>
    <mergeCell ref="C32:H32"/>
    <mergeCell ref="C33:D33"/>
    <mergeCell ref="E33:G33"/>
    <mergeCell ref="E34:F34"/>
    <mergeCell ref="E35:F35"/>
    <mergeCell ref="E37:F37"/>
    <mergeCell ref="C13:H13"/>
    <mergeCell ref="C18:H18"/>
  </mergeCells>
  <printOptions/>
  <pageMargins left="0.25" right="0.25" top="0.75" bottom="0.75" header="0.3" footer="0.3"/>
  <pageSetup horizontalDpi="600" verticalDpi="600" orientation="landscape" paperSize="9" scale="60" r:id="rId2"/>
  <rowBreaks count="1" manualBreakCount="1">
    <brk id="27" min="2" max="9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H43"/>
  <sheetViews>
    <sheetView view="pageBreakPreview" zoomScale="73" zoomScaleSheetLayoutView="73" zoomScalePageLayoutView="0" workbookViewId="0" topLeftCell="A39">
      <selection activeCell="D42" sqref="D42:F43"/>
    </sheetView>
  </sheetViews>
  <sheetFormatPr defaultColWidth="9.140625" defaultRowHeight="15"/>
  <cols>
    <col min="3" max="3" width="9.00390625" style="0" customWidth="1"/>
    <col min="4" max="5" width="37.8515625" style="0" customWidth="1"/>
    <col min="6" max="6" width="48.57421875" style="0" customWidth="1"/>
    <col min="7" max="7" width="34.140625" style="0" customWidth="1"/>
    <col min="8" max="8" width="32.57421875" style="0" customWidth="1"/>
  </cols>
  <sheetData>
    <row r="1" spans="4:7" s="1" customFormat="1" ht="28.5">
      <c r="D1" s="21" t="s">
        <v>26</v>
      </c>
      <c r="E1" s="21"/>
      <c r="F1" s="21"/>
      <c r="G1" s="21"/>
    </row>
    <row r="2" spans="4:7" s="1" customFormat="1" ht="28.5">
      <c r="D2" s="21" t="s">
        <v>27</v>
      </c>
      <c r="E2" s="21"/>
      <c r="F2" s="21"/>
      <c r="G2" s="21"/>
    </row>
    <row r="3" spans="4:8" ht="18.75">
      <c r="D3" s="2" t="s">
        <v>28</v>
      </c>
      <c r="E3" s="2"/>
      <c r="F3" s="2"/>
      <c r="G3" s="2"/>
      <c r="H3" s="7"/>
    </row>
    <row r="4" spans="4:8" ht="18.75">
      <c r="D4" s="2" t="s">
        <v>29</v>
      </c>
      <c r="E4" s="2"/>
      <c r="F4" s="2"/>
      <c r="G4" s="2"/>
      <c r="H4" s="7"/>
    </row>
    <row r="5" spans="4:8" ht="15">
      <c r="D5" s="7"/>
      <c r="E5" s="7"/>
      <c r="F5" s="7"/>
      <c r="G5" s="7"/>
      <c r="H5" s="7"/>
    </row>
    <row r="6" spans="4:7" s="3" customFormat="1" ht="26.25">
      <c r="D6" s="1" t="s">
        <v>30</v>
      </c>
      <c r="E6" s="1"/>
      <c r="F6" s="1"/>
      <c r="G6" s="1"/>
    </row>
    <row r="7" spans="4:7" s="3" customFormat="1" ht="26.25">
      <c r="D7" s="1" t="s">
        <v>66</v>
      </c>
      <c r="E7" s="1"/>
      <c r="F7" s="1"/>
      <c r="G7" s="1"/>
    </row>
    <row r="8" spans="4:7" s="3" customFormat="1" ht="26.25">
      <c r="D8" s="1" t="s">
        <v>90</v>
      </c>
      <c r="E8" s="1"/>
      <c r="F8" s="1"/>
      <c r="G8" s="1"/>
    </row>
    <row r="9" spans="4:8" ht="15">
      <c r="D9" s="7"/>
      <c r="E9" s="7"/>
      <c r="F9" s="7"/>
      <c r="G9" s="7"/>
      <c r="H9" s="7"/>
    </row>
    <row r="10" spans="3:8" ht="21">
      <c r="C10" s="3" t="s">
        <v>67</v>
      </c>
      <c r="D10" s="7"/>
      <c r="E10" s="7"/>
      <c r="F10" s="7"/>
      <c r="G10" s="7"/>
      <c r="H10" s="7"/>
    </row>
    <row r="11" s="3" customFormat="1" ht="34.5" customHeight="1">
      <c r="H11" s="8" t="s">
        <v>20</v>
      </c>
    </row>
    <row r="12" spans="3:8" s="10" customFormat="1" ht="40.5">
      <c r="C12" s="9" t="s">
        <v>13</v>
      </c>
      <c r="D12" s="9" t="s">
        <v>14</v>
      </c>
      <c r="E12" s="9" t="s">
        <v>172</v>
      </c>
      <c r="F12" s="9" t="s">
        <v>15</v>
      </c>
      <c r="G12" s="9" t="s">
        <v>16</v>
      </c>
      <c r="H12" s="9" t="s">
        <v>11</v>
      </c>
    </row>
    <row r="13" spans="3:8" s="3" customFormat="1" ht="21">
      <c r="C13" s="38" t="s">
        <v>17</v>
      </c>
      <c r="D13" s="39"/>
      <c r="E13" s="39"/>
      <c r="F13" s="39"/>
      <c r="G13" s="39"/>
      <c r="H13" s="40"/>
    </row>
    <row r="14" spans="3:8" s="3" customFormat="1" ht="21">
      <c r="C14" s="11">
        <v>1</v>
      </c>
      <c r="D14" s="11" t="s">
        <v>18</v>
      </c>
      <c r="E14" s="31">
        <v>4521.35</v>
      </c>
      <c r="F14" s="31">
        <v>38687.4</v>
      </c>
      <c r="G14" s="31">
        <v>38335.95</v>
      </c>
      <c r="H14" s="31">
        <f>E14+F14-G14</f>
        <v>4872.800000000003</v>
      </c>
    </row>
    <row r="15" spans="3:8" s="3" customFormat="1" ht="21">
      <c r="C15" s="11">
        <v>2</v>
      </c>
      <c r="D15" s="11" t="s">
        <v>19</v>
      </c>
      <c r="E15" s="31"/>
      <c r="F15" s="31"/>
      <c r="G15" s="31"/>
      <c r="H15" s="31"/>
    </row>
    <row r="16" spans="3:8" s="3" customFormat="1" ht="41.25">
      <c r="C16" s="11"/>
      <c r="D16" s="4" t="s">
        <v>0</v>
      </c>
      <c r="E16" s="32">
        <f>SUM(E14:E15)</f>
        <v>4521.35</v>
      </c>
      <c r="F16" s="32">
        <f>SUM(F14:F15)</f>
        <v>38687.4</v>
      </c>
      <c r="G16" s="32">
        <f>SUM(G14:G15)</f>
        <v>38335.95</v>
      </c>
      <c r="H16" s="32">
        <f>SUM(H14:H15)</f>
        <v>4872.800000000003</v>
      </c>
    </row>
    <row r="17" spans="3:8" s="3" customFormat="1" ht="21">
      <c r="C17" s="38" t="s">
        <v>21</v>
      </c>
      <c r="D17" s="39"/>
      <c r="E17" s="39"/>
      <c r="F17" s="39"/>
      <c r="G17" s="39"/>
      <c r="H17" s="40"/>
    </row>
    <row r="18" spans="3:8" s="3" customFormat="1" ht="21">
      <c r="C18" s="11">
        <v>3</v>
      </c>
      <c r="D18" s="11" t="s">
        <v>1</v>
      </c>
      <c r="E18" s="31">
        <v>19802.36</v>
      </c>
      <c r="F18" s="34">
        <f>169939.56-3188</f>
        <v>166751.56</v>
      </c>
      <c r="G18" s="34">
        <v>168340.22</v>
      </c>
      <c r="H18" s="34">
        <f>E18+F18-G18</f>
        <v>18213.699999999983</v>
      </c>
    </row>
    <row r="19" spans="3:8" s="3" customFormat="1" ht="21">
      <c r="C19" s="11">
        <v>4</v>
      </c>
      <c r="D19" s="14" t="s">
        <v>2</v>
      </c>
      <c r="E19" s="35">
        <v>3309.99</v>
      </c>
      <c r="F19" s="34">
        <v>25885.87</v>
      </c>
      <c r="G19" s="34">
        <v>26771.32</v>
      </c>
      <c r="H19" s="34">
        <f>E19+F19-G19</f>
        <v>2424.540000000001</v>
      </c>
    </row>
    <row r="20" spans="3:8" s="3" customFormat="1" ht="21" customHeight="1" hidden="1">
      <c r="C20" s="15">
        <v>5</v>
      </c>
      <c r="D20" s="14" t="s">
        <v>7</v>
      </c>
      <c r="E20" s="35"/>
      <c r="F20" s="34"/>
      <c r="G20" s="34"/>
      <c r="H20" s="34">
        <f>E20+F20-G20</f>
        <v>0</v>
      </c>
    </row>
    <row r="21" spans="3:8" s="3" customFormat="1" ht="21">
      <c r="C21" s="15">
        <v>5</v>
      </c>
      <c r="D21" s="14" t="s">
        <v>3</v>
      </c>
      <c r="E21" s="35">
        <v>1880.71</v>
      </c>
      <c r="F21" s="34">
        <v>15463.03</v>
      </c>
      <c r="G21" s="34">
        <v>15910.53</v>
      </c>
      <c r="H21" s="34">
        <f>E21+F21-G21</f>
        <v>1433.210000000001</v>
      </c>
    </row>
    <row r="22" spans="3:8" s="3" customFormat="1" ht="41.25" customHeight="1" hidden="1">
      <c r="C22" s="15">
        <v>7</v>
      </c>
      <c r="D22" s="14" t="s">
        <v>4</v>
      </c>
      <c r="E22" s="35"/>
      <c r="F22" s="34"/>
      <c r="G22" s="34"/>
      <c r="H22" s="34">
        <f>E22+F22-G22</f>
        <v>0</v>
      </c>
    </row>
    <row r="23" spans="3:8" s="3" customFormat="1" ht="41.25">
      <c r="C23" s="11"/>
      <c r="D23" s="4" t="s">
        <v>5</v>
      </c>
      <c r="E23" s="32">
        <f>SUM(E18:E22)</f>
        <v>24993.059999999998</v>
      </c>
      <c r="F23" s="32">
        <f>SUM(F18:F22)</f>
        <v>208100.46</v>
      </c>
      <c r="G23" s="32">
        <f>SUM(G18:G22)</f>
        <v>211022.07</v>
      </c>
      <c r="H23" s="32">
        <f>SUM(H18:H22)</f>
        <v>22071.449999999983</v>
      </c>
    </row>
    <row r="24" spans="3:8" s="3" customFormat="1" ht="41.25">
      <c r="C24" s="11"/>
      <c r="D24" s="4" t="s">
        <v>6</v>
      </c>
      <c r="E24" s="32">
        <f>E16+E23</f>
        <v>29514.409999999996</v>
      </c>
      <c r="F24" s="32">
        <f>F16+F23</f>
        <v>246787.86</v>
      </c>
      <c r="G24" s="32">
        <f>G16+G23</f>
        <v>249358.02000000002</v>
      </c>
      <c r="H24" s="32">
        <f>H16+H23</f>
        <v>26944.249999999985</v>
      </c>
    </row>
    <row r="25" spans="3:8" s="3" customFormat="1" ht="21">
      <c r="C25" s="16"/>
      <c r="D25" s="17"/>
      <c r="E25" s="17"/>
      <c r="F25" s="18"/>
      <c r="G25" s="18"/>
      <c r="H25" s="18"/>
    </row>
    <row r="26" spans="3:8" s="3" customFormat="1" ht="21">
      <c r="C26" s="16"/>
      <c r="D26" s="17"/>
      <c r="E26" s="17"/>
      <c r="F26" s="18"/>
      <c r="G26" s="18"/>
      <c r="H26" s="18"/>
    </row>
    <row r="27" spans="7:8" s="3" customFormat="1" ht="21">
      <c r="G27" s="8"/>
      <c r="H27" s="8" t="s">
        <v>22</v>
      </c>
    </row>
    <row r="28" spans="3:8" s="3" customFormat="1" ht="25.5">
      <c r="C28" s="148" t="s">
        <v>259</v>
      </c>
      <c r="D28" s="149"/>
      <c r="E28" s="149"/>
      <c r="F28" s="149"/>
      <c r="G28" s="149"/>
      <c r="H28" s="150"/>
    </row>
    <row r="29" spans="3:8" s="3" customFormat="1" ht="42">
      <c r="C29" s="151" t="s">
        <v>260</v>
      </c>
      <c r="D29" s="152"/>
      <c r="E29" s="152"/>
      <c r="F29" s="153"/>
      <c r="G29" s="49" t="s">
        <v>23</v>
      </c>
      <c r="H29" s="62" t="s">
        <v>232</v>
      </c>
    </row>
    <row r="30" spans="3:8" s="3" customFormat="1" ht="181.5" customHeight="1">
      <c r="C30" s="178" t="s">
        <v>265</v>
      </c>
      <c r="D30" s="179"/>
      <c r="E30" s="179"/>
      <c r="F30" s="180"/>
      <c r="G30" s="65">
        <f>F14</f>
        <v>38687.4</v>
      </c>
      <c r="H30" s="65">
        <f>H14</f>
        <v>4872.800000000003</v>
      </c>
    </row>
    <row r="31" spans="3:8" s="3" customFormat="1" ht="25.5">
      <c r="C31" s="148" t="s">
        <v>258</v>
      </c>
      <c r="D31" s="149"/>
      <c r="E31" s="149"/>
      <c r="F31" s="149"/>
      <c r="G31" s="149"/>
      <c r="H31" s="150"/>
    </row>
    <row r="32" spans="3:8" s="3" customFormat="1" ht="63">
      <c r="C32" s="181" t="s">
        <v>261</v>
      </c>
      <c r="D32" s="182"/>
      <c r="E32" s="164" t="s">
        <v>260</v>
      </c>
      <c r="F32" s="165"/>
      <c r="G32" s="166"/>
      <c r="H32" s="111" t="s">
        <v>262</v>
      </c>
    </row>
    <row r="33" spans="3:8" s="3" customFormat="1" ht="21">
      <c r="C33" s="136"/>
      <c r="D33" s="138">
        <v>0</v>
      </c>
      <c r="E33" s="205" t="s">
        <v>93</v>
      </c>
      <c r="F33" s="195"/>
      <c r="G33" s="35">
        <v>76.1</v>
      </c>
      <c r="H33" s="31"/>
    </row>
    <row r="34" spans="3:8" s="3" customFormat="1" ht="41.25" customHeight="1">
      <c r="C34" s="129"/>
      <c r="D34" s="133"/>
      <c r="E34" s="185" t="s">
        <v>229</v>
      </c>
      <c r="F34" s="170"/>
      <c r="G34" s="36">
        <f>SUM(G33:G33)</f>
        <v>76.1</v>
      </c>
      <c r="H34" s="37">
        <f>G15-G34</f>
        <v>-76.1</v>
      </c>
    </row>
    <row r="35" spans="3:8" s="3" customFormat="1" ht="21">
      <c r="C35" s="130"/>
      <c r="D35" s="134"/>
      <c r="E35" s="212" t="s">
        <v>230</v>
      </c>
      <c r="F35" s="193"/>
      <c r="G35" s="36"/>
      <c r="H35" s="37">
        <v>-76.1</v>
      </c>
    </row>
    <row r="36" spans="3:8" s="3" customFormat="1" ht="21">
      <c r="C36" s="135">
        <v>3</v>
      </c>
      <c r="D36" s="126" t="s">
        <v>24</v>
      </c>
      <c r="E36" s="4"/>
      <c r="F36" s="22" t="s">
        <v>216</v>
      </c>
      <c r="G36" s="19"/>
      <c r="H36" s="11"/>
    </row>
    <row r="37" spans="3:8" s="3" customFormat="1" ht="21">
      <c r="C37" s="41"/>
      <c r="D37" s="26"/>
      <c r="E37" s="26"/>
      <c r="F37" s="24" t="s">
        <v>10</v>
      </c>
      <c r="G37" s="19"/>
      <c r="H37" s="11"/>
    </row>
    <row r="38" spans="3:8" s="3" customFormat="1" ht="21">
      <c r="C38" s="27"/>
      <c r="D38" s="27"/>
      <c r="E38" s="27"/>
      <c r="F38" s="24"/>
      <c r="G38" s="19"/>
      <c r="H38" s="11"/>
    </row>
    <row r="39" spans="3:8" s="3" customFormat="1" ht="21">
      <c r="C39" s="28"/>
      <c r="D39" s="28"/>
      <c r="E39" s="27"/>
      <c r="F39" s="24"/>
      <c r="G39" s="19"/>
      <c r="H39" s="11"/>
    </row>
    <row r="40" spans="3:8" s="3" customFormat="1" ht="21">
      <c r="C40" s="23"/>
      <c r="D40" s="23"/>
      <c r="E40" s="23"/>
      <c r="F40" s="24"/>
      <c r="G40" s="19"/>
      <c r="H40" s="11"/>
    </row>
    <row r="41" s="6" customFormat="1" ht="21">
      <c r="C41" s="3"/>
    </row>
    <row r="42" spans="4:7" s="5" customFormat="1" ht="26.25">
      <c r="D42" s="1"/>
      <c r="E42" s="1"/>
      <c r="F42"/>
      <c r="G42"/>
    </row>
    <row r="43" spans="4:5" ht="26.25">
      <c r="D43" s="1"/>
      <c r="E43" s="1"/>
    </row>
  </sheetData>
  <sheetProtection/>
  <mergeCells count="9">
    <mergeCell ref="C28:H28"/>
    <mergeCell ref="C29:F29"/>
    <mergeCell ref="C30:F30"/>
    <mergeCell ref="C31:H31"/>
    <mergeCell ref="E35:F35"/>
    <mergeCell ref="C32:D32"/>
    <mergeCell ref="E32:G32"/>
    <mergeCell ref="E33:F33"/>
    <mergeCell ref="E34:F34"/>
  </mergeCells>
  <printOptions/>
  <pageMargins left="0.25" right="0.25" top="0.75" bottom="0.75" header="0.3" footer="0.3"/>
  <pageSetup horizontalDpi="600" verticalDpi="600" orientation="landscape" paperSize="9" scale="70" r:id="rId2"/>
  <rowBreaks count="1" manualBreakCount="1">
    <brk id="26" min="2" max="7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1:H49"/>
  <sheetViews>
    <sheetView view="pageBreakPreview" zoomScale="73" zoomScaleSheetLayoutView="73" zoomScalePageLayoutView="0" workbookViewId="0" topLeftCell="B32">
      <selection activeCell="D48" sqref="D48:F49"/>
    </sheetView>
  </sheetViews>
  <sheetFormatPr defaultColWidth="9.140625" defaultRowHeight="15"/>
  <cols>
    <col min="1" max="2" width="9.140625" style="45" customWidth="1"/>
    <col min="3" max="3" width="9.00390625" style="45" customWidth="1"/>
    <col min="4" max="5" width="37.8515625" style="45" customWidth="1"/>
    <col min="6" max="6" width="48.57421875" style="45" customWidth="1"/>
    <col min="7" max="7" width="34.140625" style="45" customWidth="1"/>
    <col min="8" max="8" width="31.7109375" style="45" customWidth="1"/>
    <col min="9" max="16384" width="9.140625" style="45" customWidth="1"/>
  </cols>
  <sheetData>
    <row r="1" spans="4:7" s="43" customFormat="1" ht="28.5">
      <c r="D1" s="44" t="s">
        <v>26</v>
      </c>
      <c r="E1" s="44"/>
      <c r="F1" s="44"/>
      <c r="G1" s="44"/>
    </row>
    <row r="2" spans="4:7" s="43" customFormat="1" ht="28.5">
      <c r="D2" s="44" t="s">
        <v>27</v>
      </c>
      <c r="E2" s="44"/>
      <c r="F2" s="44"/>
      <c r="G2" s="44"/>
    </row>
    <row r="3" spans="4:8" ht="18.75">
      <c r="D3" s="46" t="s">
        <v>28</v>
      </c>
      <c r="E3" s="46"/>
      <c r="F3" s="46"/>
      <c r="G3" s="46"/>
      <c r="H3" s="47"/>
    </row>
    <row r="4" spans="4:8" ht="18.75">
      <c r="D4" s="46" t="s">
        <v>29</v>
      </c>
      <c r="E4" s="46"/>
      <c r="F4" s="46"/>
      <c r="G4" s="46"/>
      <c r="H4" s="47"/>
    </row>
    <row r="5" spans="4:8" ht="15">
      <c r="D5" s="47"/>
      <c r="E5" s="47"/>
      <c r="F5" s="47"/>
      <c r="G5" s="47"/>
      <c r="H5" s="47"/>
    </row>
    <row r="6" spans="4:7" s="48" customFormat="1" ht="26.25">
      <c r="D6" s="43" t="s">
        <v>30</v>
      </c>
      <c r="E6" s="43"/>
      <c r="F6" s="43"/>
      <c r="G6" s="43"/>
    </row>
    <row r="7" spans="4:7" s="48" customFormat="1" ht="26.25">
      <c r="D7" s="43" t="s">
        <v>68</v>
      </c>
      <c r="E7" s="43"/>
      <c r="F7" s="43"/>
      <c r="G7" s="43"/>
    </row>
    <row r="8" spans="4:7" s="48" customFormat="1" ht="26.25">
      <c r="D8" s="43" t="s">
        <v>90</v>
      </c>
      <c r="E8" s="43"/>
      <c r="F8" s="43"/>
      <c r="G8" s="43"/>
    </row>
    <row r="9" spans="4:8" ht="15">
      <c r="D9" s="47"/>
      <c r="E9" s="47"/>
      <c r="F9" s="47"/>
      <c r="G9" s="47"/>
      <c r="H9" s="47"/>
    </row>
    <row r="10" spans="3:8" ht="21">
      <c r="C10" s="48" t="s">
        <v>69</v>
      </c>
      <c r="D10" s="47"/>
      <c r="E10" s="47"/>
      <c r="F10" s="47"/>
      <c r="G10" s="47"/>
      <c r="H10" s="47"/>
    </row>
    <row r="11" s="48" customFormat="1" ht="34.5" customHeight="1">
      <c r="H11" s="61" t="s">
        <v>20</v>
      </c>
    </row>
    <row r="12" spans="3:8" s="50" customFormat="1" ht="40.5">
      <c r="C12" s="49" t="s">
        <v>13</v>
      </c>
      <c r="D12" s="49" t="s">
        <v>14</v>
      </c>
      <c r="E12" s="49" t="s">
        <v>172</v>
      </c>
      <c r="F12" s="49" t="s">
        <v>15</v>
      </c>
      <c r="G12" s="49" t="s">
        <v>16</v>
      </c>
      <c r="H12" s="49" t="s">
        <v>11</v>
      </c>
    </row>
    <row r="13" spans="3:8" s="48" customFormat="1" ht="21">
      <c r="C13" s="145" t="s">
        <v>17</v>
      </c>
      <c r="D13" s="146"/>
      <c r="E13" s="146"/>
      <c r="F13" s="146"/>
      <c r="G13" s="146"/>
      <c r="H13" s="147"/>
    </row>
    <row r="14" spans="3:8" s="48" customFormat="1" ht="21">
      <c r="C14" s="15">
        <v>1</v>
      </c>
      <c r="D14" s="15" t="s">
        <v>18</v>
      </c>
      <c r="E14" s="51">
        <v>9800.95</v>
      </c>
      <c r="F14" s="51">
        <v>75992.42</v>
      </c>
      <c r="G14" s="51">
        <v>70029.03</v>
      </c>
      <c r="H14" s="51">
        <f>E14+F14-G14</f>
        <v>15764.339999999997</v>
      </c>
    </row>
    <row r="15" spans="3:8" s="48" customFormat="1" ht="21">
      <c r="C15" s="15">
        <v>2</v>
      </c>
      <c r="D15" s="15" t="s">
        <v>19</v>
      </c>
      <c r="E15" s="51">
        <v>2829.45</v>
      </c>
      <c r="F15" s="51">
        <v>21938.11</v>
      </c>
      <c r="G15" s="51">
        <v>20216.49</v>
      </c>
      <c r="H15" s="51">
        <f>E15+F15-G15</f>
        <v>4551.07</v>
      </c>
    </row>
    <row r="16" spans="3:8" s="48" customFormat="1" ht="41.25">
      <c r="C16" s="15"/>
      <c r="D16" s="52" t="s">
        <v>0</v>
      </c>
      <c r="E16" s="53">
        <f>SUM(E14:E15)</f>
        <v>12630.400000000001</v>
      </c>
      <c r="F16" s="53">
        <f>SUM(F14:F15)</f>
        <v>97930.53</v>
      </c>
      <c r="G16" s="53">
        <f>SUM(G14:G15)</f>
        <v>90245.52</v>
      </c>
      <c r="H16" s="53">
        <f>SUM(H14:H15)</f>
        <v>20315.409999999996</v>
      </c>
    </row>
    <row r="17" spans="3:8" s="48" customFormat="1" ht="21">
      <c r="C17" s="145" t="s">
        <v>21</v>
      </c>
      <c r="D17" s="146"/>
      <c r="E17" s="146"/>
      <c r="F17" s="146"/>
      <c r="G17" s="146"/>
      <c r="H17" s="147"/>
    </row>
    <row r="18" spans="3:8" s="48" customFormat="1" ht="21">
      <c r="C18" s="15">
        <v>3</v>
      </c>
      <c r="D18" s="15" t="s">
        <v>1</v>
      </c>
      <c r="E18" s="51">
        <v>42879.94</v>
      </c>
      <c r="F18" s="55">
        <f>333806.56-3187.59</f>
        <v>330618.97</v>
      </c>
      <c r="G18" s="55">
        <v>304645.86</v>
      </c>
      <c r="H18" s="55">
        <f>E18+F18-G18</f>
        <v>68853.04999999999</v>
      </c>
    </row>
    <row r="19" spans="3:8" s="48" customFormat="1" ht="21">
      <c r="C19" s="15">
        <v>4</v>
      </c>
      <c r="D19" s="56" t="s">
        <v>2</v>
      </c>
      <c r="E19" s="57">
        <v>5705.81</v>
      </c>
      <c r="F19" s="55">
        <v>48848.65</v>
      </c>
      <c r="G19" s="55">
        <v>46839.19</v>
      </c>
      <c r="H19" s="55">
        <f>E19+F19-G19</f>
        <v>7715.269999999997</v>
      </c>
    </row>
    <row r="20" spans="3:8" s="48" customFormat="1" ht="21" hidden="1">
      <c r="C20" s="15">
        <v>5</v>
      </c>
      <c r="D20" s="56" t="s">
        <v>7</v>
      </c>
      <c r="E20" s="57"/>
      <c r="F20" s="55"/>
      <c r="G20" s="55"/>
      <c r="H20" s="55">
        <f>E20+F20-G20</f>
        <v>0</v>
      </c>
    </row>
    <row r="21" spans="3:8" s="48" customFormat="1" ht="21">
      <c r="C21" s="15">
        <v>5</v>
      </c>
      <c r="D21" s="56" t="s">
        <v>3</v>
      </c>
      <c r="E21" s="57">
        <v>3251.67</v>
      </c>
      <c r="F21" s="55">
        <v>29708.57</v>
      </c>
      <c r="G21" s="55">
        <v>27915.81</v>
      </c>
      <c r="H21" s="55">
        <f>E21+F21-G21</f>
        <v>5044.429999999997</v>
      </c>
    </row>
    <row r="22" spans="3:8" s="48" customFormat="1" ht="41.25" hidden="1">
      <c r="C22" s="15">
        <v>7</v>
      </c>
      <c r="D22" s="56" t="s">
        <v>4</v>
      </c>
      <c r="E22" s="57"/>
      <c r="F22" s="55"/>
      <c r="G22" s="55"/>
      <c r="H22" s="55">
        <f>F22-G22</f>
        <v>0</v>
      </c>
    </row>
    <row r="23" spans="3:8" s="48" customFormat="1" ht="41.25">
      <c r="C23" s="15"/>
      <c r="D23" s="52" t="s">
        <v>5</v>
      </c>
      <c r="E23" s="53">
        <f>SUM(E18:E22)</f>
        <v>51837.42</v>
      </c>
      <c r="F23" s="53">
        <f>SUM(F18:F22)</f>
        <v>409176.19</v>
      </c>
      <c r="G23" s="53">
        <f>SUM(G18:G22)</f>
        <v>379400.86</v>
      </c>
      <c r="H23" s="53">
        <f>SUM(H18:H22)</f>
        <v>81612.74999999997</v>
      </c>
    </row>
    <row r="24" spans="3:8" s="48" customFormat="1" ht="41.25">
      <c r="C24" s="15"/>
      <c r="D24" s="52" t="s">
        <v>6</v>
      </c>
      <c r="E24" s="53">
        <f>E16+E23</f>
        <v>64467.82</v>
      </c>
      <c r="F24" s="53">
        <f>F16+F23</f>
        <v>507106.72</v>
      </c>
      <c r="G24" s="53">
        <f>G16+G23</f>
        <v>469646.38</v>
      </c>
      <c r="H24" s="53">
        <f>H16+H23</f>
        <v>101928.15999999997</v>
      </c>
    </row>
    <row r="25" spans="3:8" s="48" customFormat="1" ht="21">
      <c r="C25" s="58"/>
      <c r="D25" s="59"/>
      <c r="E25" s="59"/>
      <c r="F25" s="60"/>
      <c r="G25" s="60"/>
      <c r="H25" s="60"/>
    </row>
    <row r="26" spans="3:8" s="48" customFormat="1" ht="21">
      <c r="C26" s="58"/>
      <c r="D26" s="59"/>
      <c r="E26" s="59"/>
      <c r="F26" s="60"/>
      <c r="G26" s="60"/>
      <c r="H26" s="60"/>
    </row>
    <row r="27" spans="7:8" s="48" customFormat="1" ht="21">
      <c r="G27" s="61"/>
      <c r="H27" s="61" t="s">
        <v>22</v>
      </c>
    </row>
    <row r="28" spans="3:8" s="48" customFormat="1" ht="25.5">
      <c r="C28" s="148" t="s">
        <v>259</v>
      </c>
      <c r="D28" s="149"/>
      <c r="E28" s="149"/>
      <c r="F28" s="149"/>
      <c r="G28" s="149"/>
      <c r="H28" s="150"/>
    </row>
    <row r="29" spans="3:8" s="48" customFormat="1" ht="42">
      <c r="C29" s="151" t="s">
        <v>260</v>
      </c>
      <c r="D29" s="152"/>
      <c r="E29" s="152"/>
      <c r="F29" s="153"/>
      <c r="G29" s="49" t="s">
        <v>23</v>
      </c>
      <c r="H29" s="62" t="s">
        <v>232</v>
      </c>
    </row>
    <row r="30" spans="3:8" s="48" customFormat="1" ht="180.75" customHeight="1">
      <c r="C30" s="178" t="s">
        <v>265</v>
      </c>
      <c r="D30" s="179"/>
      <c r="E30" s="179"/>
      <c r="F30" s="180"/>
      <c r="G30" s="65">
        <f>F14</f>
        <v>75992.42</v>
      </c>
      <c r="H30" s="65">
        <f>H14</f>
        <v>15764.339999999997</v>
      </c>
    </row>
    <row r="31" spans="3:8" s="48" customFormat="1" ht="25.5">
      <c r="C31" s="148" t="s">
        <v>258</v>
      </c>
      <c r="D31" s="149"/>
      <c r="E31" s="149"/>
      <c r="F31" s="149"/>
      <c r="G31" s="149"/>
      <c r="H31" s="150"/>
    </row>
    <row r="32" spans="3:8" s="48" customFormat="1" ht="63">
      <c r="C32" s="181" t="s">
        <v>261</v>
      </c>
      <c r="D32" s="182"/>
      <c r="E32" s="164" t="s">
        <v>260</v>
      </c>
      <c r="F32" s="165"/>
      <c r="G32" s="166"/>
      <c r="H32" s="111" t="s">
        <v>262</v>
      </c>
    </row>
    <row r="33" spans="3:8" s="48" customFormat="1" ht="21">
      <c r="C33" s="122"/>
      <c r="D33" s="123">
        <v>6094.2</v>
      </c>
      <c r="E33" s="213" t="s">
        <v>33</v>
      </c>
      <c r="F33" s="214"/>
      <c r="G33" s="57">
        <v>4240</v>
      </c>
      <c r="H33" s="51"/>
    </row>
    <row r="34" spans="3:8" s="48" customFormat="1" ht="21">
      <c r="C34" s="118"/>
      <c r="D34" s="124"/>
      <c r="E34" s="213" t="s">
        <v>130</v>
      </c>
      <c r="F34" s="214"/>
      <c r="G34" s="57">
        <v>6159.6</v>
      </c>
      <c r="H34" s="51"/>
    </row>
    <row r="35" spans="3:8" s="48" customFormat="1" ht="21">
      <c r="C35" s="118"/>
      <c r="D35" s="124"/>
      <c r="E35" s="213" t="s">
        <v>131</v>
      </c>
      <c r="F35" s="214"/>
      <c r="G35" s="57">
        <v>1201</v>
      </c>
      <c r="H35" s="51"/>
    </row>
    <row r="36" spans="3:8" s="48" customFormat="1" ht="21">
      <c r="C36" s="118"/>
      <c r="D36" s="124"/>
      <c r="E36" s="213" t="s">
        <v>33</v>
      </c>
      <c r="F36" s="214"/>
      <c r="G36" s="57">
        <v>453</v>
      </c>
      <c r="H36" s="51"/>
    </row>
    <row r="37" spans="3:8" s="48" customFormat="1" ht="21">
      <c r="C37" s="118"/>
      <c r="D37" s="124"/>
      <c r="E37" s="213" t="s">
        <v>132</v>
      </c>
      <c r="F37" s="214"/>
      <c r="G37" s="57">
        <v>2078.57</v>
      </c>
      <c r="H37" s="51"/>
    </row>
    <row r="38" spans="3:8" s="48" customFormat="1" ht="21">
      <c r="C38" s="118"/>
      <c r="D38" s="124"/>
      <c r="E38" s="213" t="s">
        <v>93</v>
      </c>
      <c r="F38" s="214"/>
      <c r="G38" s="57">
        <v>146.09</v>
      </c>
      <c r="H38" s="51"/>
    </row>
    <row r="39" spans="3:8" s="48" customFormat="1" ht="21">
      <c r="C39" s="118"/>
      <c r="D39" s="124"/>
      <c r="E39" s="213" t="s">
        <v>133</v>
      </c>
      <c r="F39" s="214"/>
      <c r="G39" s="57">
        <v>112</v>
      </c>
      <c r="H39" s="51"/>
    </row>
    <row r="40" spans="3:8" s="48" customFormat="1" ht="21">
      <c r="C40" s="118"/>
      <c r="D40" s="125"/>
      <c r="E40" s="215" t="s">
        <v>229</v>
      </c>
      <c r="F40" s="216"/>
      <c r="G40" s="83">
        <f>SUM(G33:G39)</f>
        <v>14390.26</v>
      </c>
      <c r="H40" s="91">
        <f>G15-G40</f>
        <v>5826.230000000001</v>
      </c>
    </row>
    <row r="41" spans="3:8" s="48" customFormat="1" ht="21">
      <c r="C41" s="72"/>
      <c r="D41" s="114"/>
      <c r="E41" s="215" t="s">
        <v>230</v>
      </c>
      <c r="F41" s="216"/>
      <c r="G41" s="83"/>
      <c r="H41" s="91">
        <f>H40+D33</f>
        <v>11920.43</v>
      </c>
    </row>
    <row r="42" spans="3:8" s="48" customFormat="1" ht="21">
      <c r="C42" s="116">
        <v>3</v>
      </c>
      <c r="D42" s="115" t="s">
        <v>24</v>
      </c>
      <c r="E42" s="52"/>
      <c r="F42" s="86" t="s">
        <v>217</v>
      </c>
      <c r="G42" s="66"/>
      <c r="H42" s="15"/>
    </row>
    <row r="43" spans="3:8" s="48" customFormat="1" ht="21">
      <c r="C43" s="159"/>
      <c r="D43" s="157"/>
      <c r="E43" s="69"/>
      <c r="F43" s="86" t="s">
        <v>218</v>
      </c>
      <c r="G43" s="66"/>
      <c r="H43" s="15"/>
    </row>
    <row r="44" spans="3:8" s="48" customFormat="1" ht="21">
      <c r="C44" s="158"/>
      <c r="D44" s="158"/>
      <c r="E44" s="70"/>
      <c r="F44" s="86" t="s">
        <v>219</v>
      </c>
      <c r="G44" s="66"/>
      <c r="H44" s="15"/>
    </row>
    <row r="45" spans="3:8" s="48" customFormat="1" ht="21">
      <c r="C45" s="158"/>
      <c r="D45" s="158"/>
      <c r="E45" s="70"/>
      <c r="F45" s="86"/>
      <c r="G45" s="66"/>
      <c r="H45" s="15"/>
    </row>
    <row r="46" spans="3:8" s="48" customFormat="1" ht="21">
      <c r="C46" s="90"/>
      <c r="D46" s="90"/>
      <c r="E46" s="90"/>
      <c r="F46" s="86"/>
      <c r="G46" s="66"/>
      <c r="H46" s="15"/>
    </row>
    <row r="47" s="81" customFormat="1" ht="21">
      <c r="C47" s="48"/>
    </row>
    <row r="48" spans="4:7" s="79" customFormat="1" ht="26.25">
      <c r="D48" s="43"/>
      <c r="E48" s="43"/>
      <c r="F48" s="45"/>
      <c r="G48" s="45"/>
    </row>
    <row r="49" spans="4:5" ht="26.25">
      <c r="D49" s="43"/>
      <c r="E49" s="43"/>
    </row>
  </sheetData>
  <sheetProtection/>
  <mergeCells count="19">
    <mergeCell ref="C13:H13"/>
    <mergeCell ref="C17:H17"/>
    <mergeCell ref="C43:C45"/>
    <mergeCell ref="D43:D45"/>
    <mergeCell ref="E35:F35"/>
    <mergeCell ref="C28:H28"/>
    <mergeCell ref="C29:F29"/>
    <mergeCell ref="C30:F30"/>
    <mergeCell ref="C31:H31"/>
    <mergeCell ref="C32:D32"/>
    <mergeCell ref="E32:G32"/>
    <mergeCell ref="E33:F33"/>
    <mergeCell ref="E34:F34"/>
    <mergeCell ref="E36:F36"/>
    <mergeCell ref="E41:F41"/>
    <mergeCell ref="E37:F37"/>
    <mergeCell ref="E38:F38"/>
    <mergeCell ref="E39:F39"/>
    <mergeCell ref="E40:F40"/>
  </mergeCells>
  <printOptions/>
  <pageMargins left="0.25" right="0.25" top="0.75" bottom="0.75" header="0.3" footer="0.3"/>
  <pageSetup horizontalDpi="600" verticalDpi="600" orientation="landscape" paperSize="9" scale="64" r:id="rId2"/>
  <rowBreaks count="1" manualBreakCount="1">
    <brk id="26" min="2" max="7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1:I46"/>
  <sheetViews>
    <sheetView view="pageBreakPreview" zoomScale="73" zoomScaleSheetLayoutView="73" zoomScalePageLayoutView="0" workbookViewId="0" topLeftCell="A38">
      <selection activeCell="D45" sqref="D45:G46"/>
    </sheetView>
  </sheetViews>
  <sheetFormatPr defaultColWidth="9.140625" defaultRowHeight="15"/>
  <cols>
    <col min="1" max="2" width="9.140625" style="45" customWidth="1"/>
    <col min="3" max="3" width="9.00390625" style="45" customWidth="1"/>
    <col min="4" max="5" width="37.8515625" style="45" customWidth="1"/>
    <col min="6" max="6" width="48.57421875" style="45" customWidth="1"/>
    <col min="7" max="7" width="34.140625" style="45" customWidth="1"/>
    <col min="8" max="8" width="30.7109375" style="45" customWidth="1"/>
    <col min="9" max="9" width="23.28125" style="45" customWidth="1"/>
    <col min="10" max="16384" width="9.140625" style="45" customWidth="1"/>
  </cols>
  <sheetData>
    <row r="1" spans="4:7" s="43" customFormat="1" ht="28.5">
      <c r="D1" s="44" t="s">
        <v>26</v>
      </c>
      <c r="E1" s="44"/>
      <c r="F1" s="44"/>
      <c r="G1" s="44"/>
    </row>
    <row r="2" spans="4:7" s="43" customFormat="1" ht="28.5">
      <c r="D2" s="44" t="s">
        <v>27</v>
      </c>
      <c r="E2" s="44"/>
      <c r="F2" s="44"/>
      <c r="G2" s="44"/>
    </row>
    <row r="3" spans="4:8" ht="18.75">
      <c r="D3" s="46" t="s">
        <v>28</v>
      </c>
      <c r="E3" s="46"/>
      <c r="F3" s="46"/>
      <c r="G3" s="46"/>
      <c r="H3" s="47"/>
    </row>
    <row r="4" spans="4:8" ht="18.75">
      <c r="D4" s="46" t="s">
        <v>29</v>
      </c>
      <c r="E4" s="46"/>
      <c r="F4" s="46"/>
      <c r="G4" s="46"/>
      <c r="H4" s="47"/>
    </row>
    <row r="5" spans="4:8" ht="15">
      <c r="D5" s="47"/>
      <c r="E5" s="47"/>
      <c r="F5" s="47"/>
      <c r="G5" s="47"/>
      <c r="H5" s="47"/>
    </row>
    <row r="6" spans="4:7" s="48" customFormat="1" ht="26.25">
      <c r="D6" s="43" t="s">
        <v>30</v>
      </c>
      <c r="E6" s="43"/>
      <c r="F6" s="43"/>
      <c r="G6" s="43"/>
    </row>
    <row r="7" spans="4:7" s="48" customFormat="1" ht="26.25">
      <c r="D7" s="43" t="s">
        <v>70</v>
      </c>
      <c r="E7" s="43"/>
      <c r="F7" s="43"/>
      <c r="G7" s="43"/>
    </row>
    <row r="8" spans="4:7" s="48" customFormat="1" ht="26.25">
      <c r="D8" s="43" t="s">
        <v>90</v>
      </c>
      <c r="E8" s="43"/>
      <c r="F8" s="43"/>
      <c r="G8" s="43"/>
    </row>
    <row r="9" spans="4:8" ht="15">
      <c r="D9" s="47"/>
      <c r="E9" s="47"/>
      <c r="F9" s="47"/>
      <c r="G9" s="47"/>
      <c r="H9" s="47"/>
    </row>
    <row r="10" spans="3:8" ht="21">
      <c r="C10" s="48" t="s">
        <v>71</v>
      </c>
      <c r="D10" s="47"/>
      <c r="E10" s="47"/>
      <c r="F10" s="47"/>
      <c r="G10" s="47"/>
      <c r="H10" s="47"/>
    </row>
    <row r="11" s="48" customFormat="1" ht="34.5" customHeight="1">
      <c r="H11" s="61" t="s">
        <v>20</v>
      </c>
    </row>
    <row r="12" spans="3:8" s="50" customFormat="1" ht="40.5">
      <c r="C12" s="49" t="s">
        <v>13</v>
      </c>
      <c r="D12" s="49" t="s">
        <v>14</v>
      </c>
      <c r="E12" s="49" t="s">
        <v>172</v>
      </c>
      <c r="F12" s="49" t="s">
        <v>15</v>
      </c>
      <c r="G12" s="49" t="s">
        <v>16</v>
      </c>
      <c r="H12" s="49" t="s">
        <v>11</v>
      </c>
    </row>
    <row r="13" spans="3:8" s="48" customFormat="1" ht="21">
      <c r="C13" s="145" t="s">
        <v>17</v>
      </c>
      <c r="D13" s="146"/>
      <c r="E13" s="146"/>
      <c r="F13" s="146"/>
      <c r="G13" s="146"/>
      <c r="H13" s="147"/>
    </row>
    <row r="14" spans="3:8" s="48" customFormat="1" ht="21">
      <c r="C14" s="15">
        <v>1</v>
      </c>
      <c r="D14" s="15" t="s">
        <v>18</v>
      </c>
      <c r="E14" s="51">
        <v>11066.43</v>
      </c>
      <c r="F14" s="51">
        <v>75285.36</v>
      </c>
      <c r="G14" s="51">
        <v>77843.8</v>
      </c>
      <c r="H14" s="51">
        <f>E14+F14-G14</f>
        <v>8507.990000000005</v>
      </c>
    </row>
    <row r="15" spans="3:8" s="48" customFormat="1" ht="21">
      <c r="C15" s="15">
        <v>2</v>
      </c>
      <c r="D15" s="15" t="s">
        <v>19</v>
      </c>
      <c r="E15" s="51">
        <v>3143.89</v>
      </c>
      <c r="F15" s="51">
        <f>21388.08-29.32</f>
        <v>21358.760000000002</v>
      </c>
      <c r="G15" s="51">
        <v>22114.9</v>
      </c>
      <c r="H15" s="51">
        <f>E15+F15-G15</f>
        <v>2387.75</v>
      </c>
    </row>
    <row r="16" spans="3:8" s="48" customFormat="1" ht="41.25">
      <c r="C16" s="15"/>
      <c r="D16" s="52" t="s">
        <v>0</v>
      </c>
      <c r="E16" s="53">
        <f>SUM(E14:E15)</f>
        <v>14210.32</v>
      </c>
      <c r="F16" s="53">
        <f>SUM(F14:F15)</f>
        <v>96644.12</v>
      </c>
      <c r="G16" s="53">
        <f>SUM(G14:G15)</f>
        <v>99958.70000000001</v>
      </c>
      <c r="H16" s="53">
        <f>SUM(H14:H15)</f>
        <v>10895.740000000005</v>
      </c>
    </row>
    <row r="17" spans="3:8" s="48" customFormat="1" ht="21">
      <c r="C17" s="145" t="s">
        <v>21</v>
      </c>
      <c r="D17" s="146"/>
      <c r="E17" s="146"/>
      <c r="F17" s="146"/>
      <c r="G17" s="146"/>
      <c r="H17" s="147"/>
    </row>
    <row r="18" spans="3:8" s="48" customFormat="1" ht="21">
      <c r="C18" s="15">
        <v>3</v>
      </c>
      <c r="D18" s="15" t="s">
        <v>1</v>
      </c>
      <c r="E18" s="51">
        <v>47513.64</v>
      </c>
      <c r="F18" s="55">
        <f>325440.36-441.53</f>
        <v>324998.82999999996</v>
      </c>
      <c r="G18" s="55">
        <v>342295.63</v>
      </c>
      <c r="H18" s="55">
        <f>E18+F18-G18</f>
        <v>30216.839999999967</v>
      </c>
    </row>
    <row r="19" spans="3:8" s="48" customFormat="1" ht="21">
      <c r="C19" s="15">
        <v>4</v>
      </c>
      <c r="D19" s="56" t="s">
        <v>2</v>
      </c>
      <c r="E19" s="57">
        <v>4650.73</v>
      </c>
      <c r="F19" s="55">
        <f>35828.52-597.81</f>
        <v>35230.71</v>
      </c>
      <c r="G19" s="55">
        <v>36270.39</v>
      </c>
      <c r="H19" s="55">
        <f>E19+F19-G19</f>
        <v>3611.050000000003</v>
      </c>
    </row>
    <row r="20" spans="3:8" s="48" customFormat="1" ht="21" hidden="1">
      <c r="C20" s="15">
        <v>5</v>
      </c>
      <c r="D20" s="56" t="s">
        <v>7</v>
      </c>
      <c r="E20" s="57"/>
      <c r="F20" s="55"/>
      <c r="G20" s="55"/>
      <c r="H20" s="55">
        <f>E20+F20-G20</f>
        <v>0</v>
      </c>
    </row>
    <row r="21" spans="3:8" s="48" customFormat="1" ht="21">
      <c r="C21" s="15">
        <v>5</v>
      </c>
      <c r="D21" s="56" t="s">
        <v>3</v>
      </c>
      <c r="E21" s="57">
        <v>2642.06</v>
      </c>
      <c r="F21" s="55">
        <f>21620.07-435.94</f>
        <v>21184.13</v>
      </c>
      <c r="G21" s="55">
        <v>21650.77</v>
      </c>
      <c r="H21" s="55">
        <f>E21+F21-G21</f>
        <v>2175.420000000002</v>
      </c>
    </row>
    <row r="22" spans="3:8" s="48" customFormat="1" ht="41.25" hidden="1">
      <c r="C22" s="15">
        <v>7</v>
      </c>
      <c r="D22" s="56" t="s">
        <v>4</v>
      </c>
      <c r="E22" s="57"/>
      <c r="F22" s="55"/>
      <c r="G22" s="55"/>
      <c r="H22" s="55">
        <f>F22-G22</f>
        <v>0</v>
      </c>
    </row>
    <row r="23" spans="3:8" s="48" customFormat="1" ht="41.25">
      <c r="C23" s="15"/>
      <c r="D23" s="52" t="s">
        <v>5</v>
      </c>
      <c r="E23" s="53">
        <f>SUM(E18:E22)</f>
        <v>54806.42999999999</v>
      </c>
      <c r="F23" s="53">
        <f>SUM(F18:F22)</f>
        <v>381413.67</v>
      </c>
      <c r="G23" s="53">
        <f>SUM(G18:G22)</f>
        <v>400216.79000000004</v>
      </c>
      <c r="H23" s="53">
        <f>SUM(H18:H22)</f>
        <v>36003.30999999997</v>
      </c>
    </row>
    <row r="24" spans="3:8" s="48" customFormat="1" ht="41.25">
      <c r="C24" s="15"/>
      <c r="D24" s="52" t="s">
        <v>6</v>
      </c>
      <c r="E24" s="53">
        <f>E16+E23</f>
        <v>69016.75</v>
      </c>
      <c r="F24" s="53">
        <f>F16+F23</f>
        <v>478057.79</v>
      </c>
      <c r="G24" s="53">
        <f>G16+G23</f>
        <v>500175.49000000005</v>
      </c>
      <c r="H24" s="53">
        <f>H16+H23</f>
        <v>46899.049999999974</v>
      </c>
    </row>
    <row r="25" spans="3:9" s="48" customFormat="1" ht="21">
      <c r="C25" s="58"/>
      <c r="D25" s="59"/>
      <c r="E25" s="59"/>
      <c r="F25" s="60"/>
      <c r="G25" s="60"/>
      <c r="H25" s="60"/>
      <c r="I25" s="84"/>
    </row>
    <row r="26" spans="3:8" s="48" customFormat="1" ht="21">
      <c r="C26" s="58"/>
      <c r="D26" s="59"/>
      <c r="E26" s="59"/>
      <c r="F26" s="60"/>
      <c r="G26" s="60"/>
      <c r="H26" s="60"/>
    </row>
    <row r="27" spans="7:8" s="48" customFormat="1" ht="21">
      <c r="G27" s="61"/>
      <c r="H27" s="61" t="s">
        <v>22</v>
      </c>
    </row>
    <row r="28" spans="3:8" s="48" customFormat="1" ht="25.5">
      <c r="C28" s="148" t="s">
        <v>259</v>
      </c>
      <c r="D28" s="149"/>
      <c r="E28" s="149"/>
      <c r="F28" s="149"/>
      <c r="G28" s="149"/>
      <c r="H28" s="150"/>
    </row>
    <row r="29" spans="3:8" s="48" customFormat="1" ht="63">
      <c r="C29" s="151" t="s">
        <v>260</v>
      </c>
      <c r="D29" s="152"/>
      <c r="E29" s="152"/>
      <c r="F29" s="153"/>
      <c r="G29" s="49" t="s">
        <v>23</v>
      </c>
      <c r="H29" s="62" t="s">
        <v>232</v>
      </c>
    </row>
    <row r="30" spans="3:8" s="48" customFormat="1" ht="180" customHeight="1">
      <c r="C30" s="178" t="s">
        <v>265</v>
      </c>
      <c r="D30" s="179"/>
      <c r="E30" s="179"/>
      <c r="F30" s="180"/>
      <c r="G30" s="65">
        <f>F14</f>
        <v>75285.36</v>
      </c>
      <c r="H30" s="65">
        <f>H14</f>
        <v>8507.990000000005</v>
      </c>
    </row>
    <row r="31" spans="3:8" s="48" customFormat="1" ht="25.5">
      <c r="C31" s="148" t="s">
        <v>258</v>
      </c>
      <c r="D31" s="149"/>
      <c r="E31" s="149"/>
      <c r="F31" s="149"/>
      <c r="G31" s="149"/>
      <c r="H31" s="150"/>
    </row>
    <row r="32" spans="3:8" s="48" customFormat="1" ht="63">
      <c r="C32" s="181" t="s">
        <v>261</v>
      </c>
      <c r="D32" s="182"/>
      <c r="E32" s="164" t="s">
        <v>260</v>
      </c>
      <c r="F32" s="165"/>
      <c r="G32" s="166"/>
      <c r="H32" s="111" t="s">
        <v>262</v>
      </c>
    </row>
    <row r="33" spans="3:8" s="48" customFormat="1" ht="21">
      <c r="C33" s="122"/>
      <c r="D33" s="123">
        <f>5767.81-59459</f>
        <v>-53691.19</v>
      </c>
      <c r="E33" s="186" t="s">
        <v>33</v>
      </c>
      <c r="F33" s="168"/>
      <c r="G33" s="57">
        <v>176.64</v>
      </c>
      <c r="H33" s="51"/>
    </row>
    <row r="34" spans="3:8" s="48" customFormat="1" ht="21">
      <c r="C34" s="118"/>
      <c r="D34" s="124"/>
      <c r="E34" s="217" t="s">
        <v>10</v>
      </c>
      <c r="F34" s="218"/>
      <c r="G34" s="57">
        <v>41943.29</v>
      </c>
      <c r="H34" s="51"/>
    </row>
    <row r="35" spans="3:8" s="48" customFormat="1" ht="21">
      <c r="C35" s="118"/>
      <c r="D35" s="124"/>
      <c r="E35" s="186" t="s">
        <v>93</v>
      </c>
      <c r="F35" s="168"/>
      <c r="G35" s="57">
        <v>152.77</v>
      </c>
      <c r="H35" s="51"/>
    </row>
    <row r="36" spans="3:8" s="48" customFormat="1" ht="21">
      <c r="C36" s="118"/>
      <c r="D36" s="125"/>
      <c r="E36" s="185" t="s">
        <v>229</v>
      </c>
      <c r="F36" s="170"/>
      <c r="G36" s="83">
        <f>SUM(G33:G35)</f>
        <v>42272.7</v>
      </c>
      <c r="H36" s="91">
        <f>G15-G36</f>
        <v>-20157.799999999996</v>
      </c>
    </row>
    <row r="37" spans="3:8" s="48" customFormat="1" ht="21">
      <c r="C37" s="72"/>
      <c r="D37" s="114"/>
      <c r="E37" s="185" t="s">
        <v>230</v>
      </c>
      <c r="F37" s="170"/>
      <c r="G37" s="83"/>
      <c r="H37" s="91">
        <f>D33+H36</f>
        <v>-73848.98999999999</v>
      </c>
    </row>
    <row r="38" spans="3:8" s="48" customFormat="1" ht="21">
      <c r="C38" s="116">
        <v>3</v>
      </c>
      <c r="D38" s="115" t="s">
        <v>24</v>
      </c>
      <c r="E38" s="52"/>
      <c r="F38" s="86" t="s">
        <v>236</v>
      </c>
      <c r="G38" s="66"/>
      <c r="H38" s="15"/>
    </row>
    <row r="39" spans="3:8" s="48" customFormat="1" ht="21">
      <c r="C39" s="68"/>
      <c r="D39" s="69"/>
      <c r="E39" s="69"/>
      <c r="F39" s="86" t="s">
        <v>237</v>
      </c>
      <c r="G39" s="66"/>
      <c r="H39" s="15"/>
    </row>
    <row r="40" spans="3:9" s="81" customFormat="1" ht="21">
      <c r="C40" s="90"/>
      <c r="D40" s="90"/>
      <c r="E40" s="90"/>
      <c r="F40" s="86"/>
      <c r="G40" s="66"/>
      <c r="H40" s="15"/>
      <c r="I40" s="61" t="s">
        <v>52</v>
      </c>
    </row>
    <row r="41" spans="3:9" s="79" customFormat="1" ht="61.5">
      <c r="C41" s="49" t="s">
        <v>13</v>
      </c>
      <c r="D41" s="49" t="s">
        <v>55</v>
      </c>
      <c r="E41" s="49" t="s">
        <v>53</v>
      </c>
      <c r="F41" s="49" t="s">
        <v>189</v>
      </c>
      <c r="G41" s="49" t="s">
        <v>190</v>
      </c>
      <c r="H41" s="77" t="s">
        <v>185</v>
      </c>
      <c r="I41" s="78" t="s">
        <v>54</v>
      </c>
    </row>
    <row r="42" spans="3:9" ht="21">
      <c r="C42" s="15">
        <v>1</v>
      </c>
      <c r="D42" s="15" t="s">
        <v>200</v>
      </c>
      <c r="E42" s="51">
        <v>50000</v>
      </c>
      <c r="F42" s="51">
        <v>42818.7</v>
      </c>
      <c r="G42" s="51">
        <v>33398.44</v>
      </c>
      <c r="H42" s="80">
        <f>F42-G42</f>
        <v>9420.259999999995</v>
      </c>
      <c r="I42" s="51">
        <f>E42-F42</f>
        <v>7181.300000000003</v>
      </c>
    </row>
    <row r="43" spans="3:9" ht="21">
      <c r="C43" s="15"/>
      <c r="D43" s="15"/>
      <c r="E43" s="15"/>
      <c r="F43" s="15"/>
      <c r="G43" s="95"/>
      <c r="H43" s="15"/>
      <c r="I43" s="15"/>
    </row>
    <row r="45" spans="4:5" ht="26.25">
      <c r="D45" s="43"/>
      <c r="E45" s="43"/>
    </row>
    <row r="46" spans="4:5" ht="26.25">
      <c r="D46" s="43"/>
      <c r="E46" s="43"/>
    </row>
  </sheetData>
  <sheetProtection/>
  <mergeCells count="13">
    <mergeCell ref="C13:H13"/>
    <mergeCell ref="C17:H17"/>
    <mergeCell ref="C28:H28"/>
    <mergeCell ref="C29:F29"/>
    <mergeCell ref="E37:F37"/>
    <mergeCell ref="E33:F33"/>
    <mergeCell ref="E34:F34"/>
    <mergeCell ref="E35:F35"/>
    <mergeCell ref="E36:F36"/>
    <mergeCell ref="C30:F30"/>
    <mergeCell ref="C31:H31"/>
    <mergeCell ref="C32:D32"/>
    <mergeCell ref="E32:G32"/>
  </mergeCells>
  <printOptions/>
  <pageMargins left="0.25" right="0.25" top="0.75" bottom="0.75" header="0.3" footer="0.3"/>
  <pageSetup horizontalDpi="600" verticalDpi="600" orientation="landscape" paperSize="9" scale="54" r:id="rId2"/>
  <rowBreaks count="1" manualBreakCount="1">
    <brk id="30" min="2" max="9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0"/>
  <sheetViews>
    <sheetView view="pageBreakPreview" zoomScale="73" zoomScaleSheetLayoutView="73" zoomScalePageLayoutView="0" workbookViewId="0" topLeftCell="A48">
      <selection activeCell="B59" sqref="B59:D60"/>
    </sheetView>
  </sheetViews>
  <sheetFormatPr defaultColWidth="9.140625" defaultRowHeight="15"/>
  <cols>
    <col min="1" max="1" width="9.00390625" style="45" customWidth="1"/>
    <col min="2" max="2" width="37.8515625" style="45" customWidth="1"/>
    <col min="3" max="3" width="44.140625" style="45" customWidth="1"/>
    <col min="4" max="4" width="45.00390625" style="45" customWidth="1"/>
    <col min="5" max="5" width="44.57421875" style="45" customWidth="1"/>
    <col min="6" max="6" width="39.7109375" style="45" customWidth="1"/>
    <col min="7" max="7" width="23.28125" style="45" customWidth="1"/>
    <col min="8" max="8" width="19.7109375" style="45" customWidth="1"/>
    <col min="9" max="16384" width="9.140625" style="45" customWidth="1"/>
  </cols>
  <sheetData>
    <row r="1" spans="2:5" s="43" customFormat="1" ht="28.5">
      <c r="B1" s="44" t="s">
        <v>26</v>
      </c>
      <c r="C1" s="44"/>
      <c r="D1" s="44"/>
      <c r="E1" s="44"/>
    </row>
    <row r="2" spans="2:5" s="43" customFormat="1" ht="28.5">
      <c r="B2" s="44" t="s">
        <v>27</v>
      </c>
      <c r="C2" s="44"/>
      <c r="D2" s="44"/>
      <c r="E2" s="44"/>
    </row>
    <row r="3" spans="2:6" ht="18.75">
      <c r="B3" s="46" t="s">
        <v>28</v>
      </c>
      <c r="C3" s="46"/>
      <c r="D3" s="46"/>
      <c r="E3" s="46"/>
      <c r="F3" s="47"/>
    </row>
    <row r="4" spans="2:6" ht="18.75">
      <c r="B4" s="46" t="s">
        <v>29</v>
      </c>
      <c r="C4" s="46"/>
      <c r="D4" s="46"/>
      <c r="E4" s="46"/>
      <c r="F4" s="47"/>
    </row>
    <row r="5" spans="2:6" ht="15">
      <c r="B5" s="47"/>
      <c r="C5" s="47"/>
      <c r="D5" s="47"/>
      <c r="E5" s="47"/>
      <c r="F5" s="47"/>
    </row>
    <row r="6" spans="2:5" s="48" customFormat="1" ht="26.25">
      <c r="B6" s="43" t="s">
        <v>30</v>
      </c>
      <c r="C6" s="43"/>
      <c r="D6" s="43"/>
      <c r="E6" s="43"/>
    </row>
    <row r="7" spans="2:5" s="48" customFormat="1" ht="26.25">
      <c r="B7" s="43" t="s">
        <v>72</v>
      </c>
      <c r="C7" s="43"/>
      <c r="D7" s="43"/>
      <c r="E7" s="43"/>
    </row>
    <row r="8" spans="2:5" s="48" customFormat="1" ht="26.25">
      <c r="B8" s="43" t="s">
        <v>90</v>
      </c>
      <c r="C8" s="43"/>
      <c r="D8" s="43"/>
      <c r="E8" s="43"/>
    </row>
    <row r="9" spans="2:6" ht="15">
      <c r="B9" s="47"/>
      <c r="C9" s="47"/>
      <c r="D9" s="47"/>
      <c r="E9" s="47"/>
      <c r="F9" s="47"/>
    </row>
    <row r="10" spans="1:6" ht="21">
      <c r="A10" s="48" t="s">
        <v>73</v>
      </c>
      <c r="B10" s="47"/>
      <c r="C10" s="47"/>
      <c r="D10" s="47"/>
      <c r="E10" s="47"/>
      <c r="F10" s="47"/>
    </row>
    <row r="11" s="48" customFormat="1" ht="34.5" customHeight="1">
      <c r="F11" s="61" t="s">
        <v>20</v>
      </c>
    </row>
    <row r="12" spans="1:6" s="50" customFormat="1" ht="20.25">
      <c r="A12" s="49" t="s">
        <v>13</v>
      </c>
      <c r="B12" s="49" t="s">
        <v>14</v>
      </c>
      <c r="C12" s="49" t="s">
        <v>172</v>
      </c>
      <c r="D12" s="49" t="s">
        <v>15</v>
      </c>
      <c r="E12" s="49" t="s">
        <v>16</v>
      </c>
      <c r="F12" s="49" t="s">
        <v>11</v>
      </c>
    </row>
    <row r="13" spans="1:6" s="48" customFormat="1" ht="21">
      <c r="A13" s="145" t="s">
        <v>17</v>
      </c>
      <c r="B13" s="146"/>
      <c r="C13" s="146"/>
      <c r="D13" s="146"/>
      <c r="E13" s="146"/>
      <c r="F13" s="147"/>
    </row>
    <row r="14" spans="1:6" s="48" customFormat="1" ht="21">
      <c r="A14" s="15">
        <v>1</v>
      </c>
      <c r="B14" s="15" t="s">
        <v>18</v>
      </c>
      <c r="C14" s="51">
        <v>12656.82</v>
      </c>
      <c r="D14" s="51">
        <f>73551.28-143.49</f>
        <v>73407.79</v>
      </c>
      <c r="E14" s="51">
        <v>65876.42</v>
      </c>
      <c r="F14" s="51">
        <f>C14+D14-E14</f>
        <v>20188.189999999988</v>
      </c>
    </row>
    <row r="15" spans="1:6" s="48" customFormat="1" ht="21">
      <c r="A15" s="15">
        <v>2</v>
      </c>
      <c r="B15" s="15" t="s">
        <v>19</v>
      </c>
      <c r="C15" s="51">
        <v>3595.81</v>
      </c>
      <c r="D15" s="51">
        <f>20895.25-41.01</f>
        <v>20854.24</v>
      </c>
      <c r="E15" s="51">
        <v>18714.77</v>
      </c>
      <c r="F15" s="51">
        <f>C15+D15-E15</f>
        <v>5735.2800000000025</v>
      </c>
    </row>
    <row r="16" spans="1:6" s="48" customFormat="1" ht="42">
      <c r="A16" s="15">
        <v>3</v>
      </c>
      <c r="B16" s="82" t="s">
        <v>186</v>
      </c>
      <c r="C16" s="51"/>
      <c r="D16" s="51">
        <v>14040</v>
      </c>
      <c r="E16" s="51">
        <v>11506.41</v>
      </c>
      <c r="F16" s="51">
        <f>C16+D16-E16</f>
        <v>2533.59</v>
      </c>
    </row>
    <row r="17" spans="1:6" s="48" customFormat="1" ht="41.25">
      <c r="A17" s="15"/>
      <c r="B17" s="52" t="s">
        <v>0</v>
      </c>
      <c r="C17" s="53">
        <f>SUM(C14:C16)</f>
        <v>16252.63</v>
      </c>
      <c r="D17" s="53">
        <f>SUM(D14:D16)</f>
        <v>108302.03</v>
      </c>
      <c r="E17" s="53">
        <f>SUM(E14:E16)</f>
        <v>96097.6</v>
      </c>
      <c r="F17" s="53">
        <f>SUM(F14:F16)</f>
        <v>28457.05999999999</v>
      </c>
    </row>
    <row r="18" spans="1:6" s="48" customFormat="1" ht="21">
      <c r="A18" s="145" t="s">
        <v>21</v>
      </c>
      <c r="B18" s="146"/>
      <c r="C18" s="146"/>
      <c r="D18" s="146"/>
      <c r="E18" s="146"/>
      <c r="F18" s="147"/>
    </row>
    <row r="19" spans="1:6" s="48" customFormat="1" ht="21">
      <c r="A19" s="15">
        <v>4</v>
      </c>
      <c r="B19" s="15" t="s">
        <v>1</v>
      </c>
      <c r="C19" s="51">
        <v>54262.83</v>
      </c>
      <c r="D19" s="55">
        <f>316290.58-627.32</f>
        <v>315663.26</v>
      </c>
      <c r="E19" s="55">
        <f>283060.75-303.98</f>
        <v>282756.77</v>
      </c>
      <c r="F19" s="55">
        <f>C19+D19-E19</f>
        <v>87169.32</v>
      </c>
    </row>
    <row r="20" spans="1:6" s="48" customFormat="1" ht="21">
      <c r="A20" s="15">
        <v>5</v>
      </c>
      <c r="B20" s="56" t="s">
        <v>2</v>
      </c>
      <c r="C20" s="57">
        <v>5944.33</v>
      </c>
      <c r="D20" s="55">
        <f>36402.53-217.99</f>
        <v>36184.54</v>
      </c>
      <c r="E20" s="55">
        <v>33740.15</v>
      </c>
      <c r="F20" s="55">
        <f>C20+D20-E20</f>
        <v>8388.720000000001</v>
      </c>
    </row>
    <row r="21" spans="1:6" s="48" customFormat="1" ht="41.25">
      <c r="A21" s="15">
        <v>6</v>
      </c>
      <c r="B21" s="56" t="s">
        <v>4</v>
      </c>
      <c r="C21" s="57">
        <v>12561.8</v>
      </c>
      <c r="D21" s="55">
        <f>83079.44-858.46</f>
        <v>82220.98</v>
      </c>
      <c r="E21" s="55">
        <v>73135.24</v>
      </c>
      <c r="F21" s="55">
        <f>C21+D21-E21</f>
        <v>21647.539999999994</v>
      </c>
    </row>
    <row r="22" spans="1:6" s="48" customFormat="1" ht="21">
      <c r="A22" s="15">
        <v>7</v>
      </c>
      <c r="B22" s="56" t="s">
        <v>3</v>
      </c>
      <c r="C22" s="57">
        <v>3491.03</v>
      </c>
      <c r="D22" s="55">
        <f>22045-157.7</f>
        <v>21887.3</v>
      </c>
      <c r="E22" s="55">
        <v>20184.15</v>
      </c>
      <c r="F22" s="55">
        <f>C22+D22-E22</f>
        <v>5194.179999999997</v>
      </c>
    </row>
    <row r="23" spans="1:6" s="48" customFormat="1" ht="41.25">
      <c r="A23" s="15"/>
      <c r="B23" s="52" t="s">
        <v>5</v>
      </c>
      <c r="C23" s="53">
        <f>SUM(C19:C22)</f>
        <v>76259.99</v>
      </c>
      <c r="D23" s="53">
        <f>SUM(D19:D22)</f>
        <v>455956.07999999996</v>
      </c>
      <c r="E23" s="53">
        <f>SUM(E19:E22)</f>
        <v>409816.31000000006</v>
      </c>
      <c r="F23" s="53">
        <f>SUM(F19:F22)</f>
        <v>122399.76</v>
      </c>
    </row>
    <row r="24" spans="1:6" s="48" customFormat="1" ht="41.25">
      <c r="A24" s="15"/>
      <c r="B24" s="52" t="s">
        <v>6</v>
      </c>
      <c r="C24" s="53">
        <f>C17+C23</f>
        <v>92512.62000000001</v>
      </c>
      <c r="D24" s="53">
        <f>D17+D23</f>
        <v>564258.11</v>
      </c>
      <c r="E24" s="53">
        <f>E17+E23</f>
        <v>505913.91000000003</v>
      </c>
      <c r="F24" s="53">
        <f>F17+F23</f>
        <v>150856.81999999998</v>
      </c>
    </row>
    <row r="25" spans="1:7" s="48" customFormat="1" ht="21">
      <c r="A25" s="58"/>
      <c r="B25" s="59"/>
      <c r="C25" s="59"/>
      <c r="D25" s="60"/>
      <c r="E25" s="60"/>
      <c r="F25" s="60"/>
      <c r="G25" s="84"/>
    </row>
    <row r="26" spans="1:6" s="48" customFormat="1" ht="21">
      <c r="A26" s="58"/>
      <c r="B26" s="59"/>
      <c r="C26" s="59"/>
      <c r="D26" s="60"/>
      <c r="E26" s="60"/>
      <c r="F26" s="60"/>
    </row>
    <row r="27" spans="5:6" s="48" customFormat="1" ht="21">
      <c r="E27" s="61"/>
      <c r="F27" s="61" t="s">
        <v>22</v>
      </c>
    </row>
    <row r="28" spans="1:6" s="48" customFormat="1" ht="25.5">
      <c r="A28" s="148" t="s">
        <v>259</v>
      </c>
      <c r="B28" s="149"/>
      <c r="C28" s="149"/>
      <c r="D28" s="149"/>
      <c r="E28" s="149"/>
      <c r="F28" s="150"/>
    </row>
    <row r="29" spans="1:6" s="48" customFormat="1" ht="42">
      <c r="A29" s="151" t="s">
        <v>260</v>
      </c>
      <c r="B29" s="152"/>
      <c r="C29" s="152"/>
      <c r="D29" s="153"/>
      <c r="E29" s="49" t="s">
        <v>23</v>
      </c>
      <c r="F29" s="62" t="s">
        <v>232</v>
      </c>
    </row>
    <row r="30" spans="1:6" s="48" customFormat="1" ht="174.75" customHeight="1">
      <c r="A30" s="178" t="s">
        <v>265</v>
      </c>
      <c r="B30" s="179"/>
      <c r="C30" s="179"/>
      <c r="D30" s="180"/>
      <c r="E30" s="65">
        <f>D14</f>
        <v>73407.79</v>
      </c>
      <c r="F30" s="65">
        <f>F14</f>
        <v>20188.189999999988</v>
      </c>
    </row>
    <row r="31" spans="1:6" s="48" customFormat="1" ht="25.5">
      <c r="A31" s="148" t="s">
        <v>258</v>
      </c>
      <c r="B31" s="149"/>
      <c r="C31" s="149"/>
      <c r="D31" s="149"/>
      <c r="E31" s="149"/>
      <c r="F31" s="150"/>
    </row>
    <row r="32" spans="1:6" s="48" customFormat="1" ht="79.5" customHeight="1">
      <c r="A32" s="181" t="s">
        <v>261</v>
      </c>
      <c r="B32" s="182"/>
      <c r="C32" s="164" t="s">
        <v>260</v>
      </c>
      <c r="D32" s="165"/>
      <c r="E32" s="166"/>
      <c r="F32" s="111" t="s">
        <v>262</v>
      </c>
    </row>
    <row r="33" spans="1:6" s="48" customFormat="1" ht="21">
      <c r="A33" s="122"/>
      <c r="B33" s="123">
        <v>2625.59</v>
      </c>
      <c r="C33" s="168" t="s">
        <v>134</v>
      </c>
      <c r="D33" s="144"/>
      <c r="E33" s="57">
        <v>507</v>
      </c>
      <c r="F33" s="51"/>
    </row>
    <row r="34" spans="1:6" s="48" customFormat="1" ht="21">
      <c r="A34" s="160"/>
      <c r="B34" s="219"/>
      <c r="C34" s="168" t="s">
        <v>135</v>
      </c>
      <c r="D34" s="144"/>
      <c r="E34" s="57">
        <v>368</v>
      </c>
      <c r="F34" s="51"/>
    </row>
    <row r="35" spans="1:6" s="48" customFormat="1" ht="21">
      <c r="A35" s="160"/>
      <c r="B35" s="219"/>
      <c r="C35" s="168" t="s">
        <v>136</v>
      </c>
      <c r="D35" s="144"/>
      <c r="E35" s="57">
        <v>615</v>
      </c>
      <c r="F35" s="51"/>
    </row>
    <row r="36" spans="1:6" s="48" customFormat="1" ht="21">
      <c r="A36" s="160"/>
      <c r="B36" s="219"/>
      <c r="C36" s="168" t="s">
        <v>137</v>
      </c>
      <c r="D36" s="144"/>
      <c r="E36" s="57">
        <v>1476</v>
      </c>
      <c r="F36" s="51"/>
    </row>
    <row r="37" spans="1:6" s="48" customFormat="1" ht="21">
      <c r="A37" s="221"/>
      <c r="B37" s="220"/>
      <c r="C37" s="168" t="s">
        <v>93</v>
      </c>
      <c r="D37" s="144"/>
      <c r="E37" s="57">
        <v>152.14</v>
      </c>
      <c r="F37" s="51"/>
    </row>
    <row r="38" spans="1:6" s="48" customFormat="1" ht="21">
      <c r="A38" s="221"/>
      <c r="B38" s="220"/>
      <c r="C38" s="168" t="s">
        <v>138</v>
      </c>
      <c r="D38" s="144"/>
      <c r="E38" s="57">
        <v>1101.76</v>
      </c>
      <c r="F38" s="51"/>
    </row>
    <row r="39" spans="1:6" s="48" customFormat="1" ht="21">
      <c r="A39" s="118"/>
      <c r="B39" s="125"/>
      <c r="C39" s="170" t="s">
        <v>229</v>
      </c>
      <c r="D39" s="177"/>
      <c r="E39" s="83">
        <f>SUM(E33:E38)</f>
        <v>4219.9</v>
      </c>
      <c r="F39" s="91">
        <f>E15-E39</f>
        <v>14494.87</v>
      </c>
    </row>
    <row r="40" spans="1:6" s="48" customFormat="1" ht="21">
      <c r="A40" s="72"/>
      <c r="B40" s="114"/>
      <c r="C40" s="185" t="s">
        <v>230</v>
      </c>
      <c r="D40" s="170"/>
      <c r="E40" s="83"/>
      <c r="F40" s="91">
        <f>F39+B33</f>
        <v>17120.46</v>
      </c>
    </row>
    <row r="41" spans="1:6" s="48" customFormat="1" ht="21">
      <c r="A41" s="116">
        <v>3</v>
      </c>
      <c r="B41" s="115" t="s">
        <v>24</v>
      </c>
      <c r="C41" s="52"/>
      <c r="D41" s="76" t="s">
        <v>206</v>
      </c>
      <c r="E41" s="66"/>
      <c r="F41" s="15"/>
    </row>
    <row r="42" spans="1:6" s="48" customFormat="1" ht="21">
      <c r="A42" s="159"/>
      <c r="B42" s="157"/>
      <c r="C42" s="69"/>
      <c r="D42" s="86" t="s">
        <v>220</v>
      </c>
      <c r="E42" s="66"/>
      <c r="F42" s="15"/>
    </row>
    <row r="43" spans="1:6" s="48" customFormat="1" ht="21">
      <c r="A43" s="158"/>
      <c r="B43" s="158"/>
      <c r="C43" s="70"/>
      <c r="D43" s="86"/>
      <c r="E43" s="66"/>
      <c r="F43" s="15"/>
    </row>
    <row r="44" spans="1:6" s="48" customFormat="1" ht="21">
      <c r="A44" s="158"/>
      <c r="B44" s="158"/>
      <c r="C44" s="70"/>
      <c r="D44" s="86"/>
      <c r="E44" s="66"/>
      <c r="F44" s="15"/>
    </row>
    <row r="45" spans="1:6" s="48" customFormat="1" ht="21">
      <c r="A45" s="158"/>
      <c r="B45" s="158"/>
      <c r="C45" s="70"/>
      <c r="D45" s="86"/>
      <c r="E45" s="66"/>
      <c r="F45" s="15"/>
    </row>
    <row r="46" spans="1:6" s="48" customFormat="1" ht="21">
      <c r="A46" s="161"/>
      <c r="B46" s="161"/>
      <c r="C46" s="71"/>
      <c r="D46" s="86"/>
      <c r="E46" s="66"/>
      <c r="F46" s="15"/>
    </row>
    <row r="47" spans="1:6" s="48" customFormat="1" ht="21">
      <c r="A47" s="90"/>
      <c r="B47" s="90"/>
      <c r="C47" s="90"/>
      <c r="D47" s="86"/>
      <c r="E47" s="66"/>
      <c r="F47" s="15"/>
    </row>
    <row r="48" spans="1:6" s="48" customFormat="1" ht="21">
      <c r="A48" s="96"/>
      <c r="B48" s="96"/>
      <c r="C48" s="96"/>
      <c r="D48" s="97"/>
      <c r="E48" s="93"/>
      <c r="F48" s="58"/>
    </row>
    <row r="49" spans="1:8" s="48" customFormat="1" ht="61.5">
      <c r="A49" s="49" t="s">
        <v>13</v>
      </c>
      <c r="B49" s="49" t="s">
        <v>55</v>
      </c>
      <c r="C49" s="49" t="s">
        <v>53</v>
      </c>
      <c r="D49" s="49" t="s">
        <v>253</v>
      </c>
      <c r="E49" s="49" t="s">
        <v>254</v>
      </c>
      <c r="F49" s="49" t="s">
        <v>246</v>
      </c>
      <c r="G49" s="49" t="s">
        <v>54</v>
      </c>
      <c r="H49" s="100"/>
    </row>
    <row r="50" spans="1:8" s="48" customFormat="1" ht="21">
      <c r="A50" s="15">
        <v>2</v>
      </c>
      <c r="B50" s="15" t="s">
        <v>195</v>
      </c>
      <c r="C50" s="102">
        <v>73907</v>
      </c>
      <c r="D50" s="102">
        <v>57070.62</v>
      </c>
      <c r="E50" s="102">
        <v>40228.65</v>
      </c>
      <c r="F50" s="102">
        <f>D50-E50</f>
        <v>16841.97</v>
      </c>
      <c r="G50" s="102">
        <f>C50-D50</f>
        <v>16836.379999999997</v>
      </c>
      <c r="H50" s="101"/>
    </row>
    <row r="51" spans="1:8" s="48" customFormat="1" ht="21">
      <c r="A51" s="15">
        <v>3</v>
      </c>
      <c r="B51" s="15" t="s">
        <v>196</v>
      </c>
      <c r="C51" s="102">
        <v>23805</v>
      </c>
      <c r="D51" s="102">
        <v>3008.46</v>
      </c>
      <c r="E51" s="102">
        <v>1524.51</v>
      </c>
      <c r="F51" s="102">
        <f>D51-E51</f>
        <v>1483.95</v>
      </c>
      <c r="G51" s="102">
        <f>C51-D51</f>
        <v>20796.54</v>
      </c>
      <c r="H51" s="101"/>
    </row>
    <row r="52" s="81" customFormat="1" ht="21">
      <c r="A52" s="48"/>
    </row>
    <row r="53" spans="1:8" s="48" customFormat="1" ht="61.5">
      <c r="A53" s="49" t="s">
        <v>13</v>
      </c>
      <c r="B53" s="49" t="s">
        <v>55</v>
      </c>
      <c r="C53" s="49" t="s">
        <v>256</v>
      </c>
      <c r="D53" s="49" t="s">
        <v>172</v>
      </c>
      <c r="E53" s="49" t="s">
        <v>257</v>
      </c>
      <c r="F53" s="49" t="s">
        <v>254</v>
      </c>
      <c r="G53" s="49" t="s">
        <v>246</v>
      </c>
      <c r="H53" s="49" t="s">
        <v>54</v>
      </c>
    </row>
    <row r="54" spans="1:8" s="48" customFormat="1" ht="21">
      <c r="A54" s="15">
        <v>1</v>
      </c>
      <c r="B54" s="15" t="s">
        <v>194</v>
      </c>
      <c r="C54" s="15">
        <f>26880-7375.75</f>
        <v>19504.25</v>
      </c>
      <c r="D54" s="15">
        <v>4374.84</v>
      </c>
      <c r="E54" s="99">
        <v>18086.62</v>
      </c>
      <c r="F54" s="15">
        <v>18669.51</v>
      </c>
      <c r="G54" s="99">
        <f>D54+E54-F54</f>
        <v>3791.9500000000007</v>
      </c>
      <c r="H54" s="99">
        <f>C54-E54</f>
        <v>1417.630000000001</v>
      </c>
    </row>
    <row r="55" s="81" customFormat="1" ht="21">
      <c r="A55" s="48"/>
    </row>
    <row r="56" s="81" customFormat="1" ht="21">
      <c r="A56" s="48"/>
    </row>
    <row r="57" s="81" customFormat="1" ht="21">
      <c r="A57" s="48"/>
    </row>
    <row r="58" s="81" customFormat="1" ht="21">
      <c r="A58" s="48"/>
    </row>
    <row r="59" spans="2:4" s="79" customFormat="1" ht="26.25">
      <c r="B59" s="43"/>
      <c r="C59" s="43"/>
      <c r="D59" s="45"/>
    </row>
    <row r="60" spans="2:3" ht="26.25">
      <c r="B60" s="43"/>
      <c r="C60" s="43"/>
    </row>
  </sheetData>
  <sheetProtection/>
  <mergeCells count="20">
    <mergeCell ref="A13:F13"/>
    <mergeCell ref="A18:F18"/>
    <mergeCell ref="A42:A46"/>
    <mergeCell ref="B42:B46"/>
    <mergeCell ref="B34:B38"/>
    <mergeCell ref="A34:A38"/>
    <mergeCell ref="C35:D35"/>
    <mergeCell ref="C34:D34"/>
    <mergeCell ref="A28:F28"/>
    <mergeCell ref="A29:D29"/>
    <mergeCell ref="A30:D30"/>
    <mergeCell ref="A31:F31"/>
    <mergeCell ref="A32:B32"/>
    <mergeCell ref="C32:E32"/>
    <mergeCell ref="C39:D39"/>
    <mergeCell ref="C40:D40"/>
    <mergeCell ref="C33:D33"/>
    <mergeCell ref="C36:D36"/>
    <mergeCell ref="C37:D37"/>
    <mergeCell ref="C38:D38"/>
  </mergeCells>
  <printOptions/>
  <pageMargins left="0.25" right="0.25" top="0.75" bottom="0.75" header="0.3" footer="0.3"/>
  <pageSetup horizontalDpi="600" verticalDpi="600" orientation="landscape" paperSize="9" scale="47" r:id="rId2"/>
  <rowBreaks count="1" manualBreakCount="1">
    <brk id="30" max="8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1:I49"/>
  <sheetViews>
    <sheetView view="pageBreakPreview" zoomScale="73" zoomScaleSheetLayoutView="73" zoomScalePageLayoutView="0" workbookViewId="0" topLeftCell="A39">
      <selection activeCell="D48" sqref="D48:F49"/>
    </sheetView>
  </sheetViews>
  <sheetFormatPr defaultColWidth="9.140625" defaultRowHeight="15"/>
  <cols>
    <col min="1" max="2" width="9.140625" style="45" customWidth="1"/>
    <col min="3" max="3" width="9.00390625" style="45" customWidth="1"/>
    <col min="4" max="5" width="37.8515625" style="45" customWidth="1"/>
    <col min="6" max="6" width="48.57421875" style="45" customWidth="1"/>
    <col min="7" max="7" width="34.140625" style="45" customWidth="1"/>
    <col min="8" max="8" width="30.421875" style="45" customWidth="1"/>
    <col min="9" max="9" width="24.421875" style="45" customWidth="1"/>
    <col min="10" max="10" width="20.7109375" style="45" customWidth="1"/>
    <col min="11" max="11" width="23.00390625" style="45" customWidth="1"/>
    <col min="12" max="16384" width="9.140625" style="45" customWidth="1"/>
  </cols>
  <sheetData>
    <row r="1" spans="4:7" s="43" customFormat="1" ht="28.5">
      <c r="D1" s="44" t="s">
        <v>26</v>
      </c>
      <c r="E1" s="44"/>
      <c r="F1" s="44"/>
      <c r="G1" s="44"/>
    </row>
    <row r="2" spans="4:7" s="43" customFormat="1" ht="28.5">
      <c r="D2" s="44" t="s">
        <v>27</v>
      </c>
      <c r="E2" s="44"/>
      <c r="F2" s="44"/>
      <c r="G2" s="44"/>
    </row>
    <row r="3" spans="4:8" ht="18.75">
      <c r="D3" s="46" t="s">
        <v>28</v>
      </c>
      <c r="E3" s="46"/>
      <c r="F3" s="46"/>
      <c r="G3" s="46"/>
      <c r="H3" s="47"/>
    </row>
    <row r="4" spans="4:8" ht="18.75">
      <c r="D4" s="46" t="s">
        <v>29</v>
      </c>
      <c r="E4" s="46"/>
      <c r="F4" s="46"/>
      <c r="G4" s="46"/>
      <c r="H4" s="47"/>
    </row>
    <row r="5" spans="4:8" ht="15">
      <c r="D5" s="47"/>
      <c r="E5" s="47"/>
      <c r="F5" s="47"/>
      <c r="G5" s="47"/>
      <c r="H5" s="47"/>
    </row>
    <row r="6" spans="4:7" s="48" customFormat="1" ht="26.25">
      <c r="D6" s="43" t="s">
        <v>30</v>
      </c>
      <c r="E6" s="43"/>
      <c r="F6" s="43"/>
      <c r="G6" s="43"/>
    </row>
    <row r="7" spans="4:7" s="48" customFormat="1" ht="26.25">
      <c r="D7" s="43" t="s">
        <v>74</v>
      </c>
      <c r="E7" s="43"/>
      <c r="F7" s="43"/>
      <c r="G7" s="43"/>
    </row>
    <row r="8" spans="4:7" s="48" customFormat="1" ht="26.25">
      <c r="D8" s="43" t="s">
        <v>90</v>
      </c>
      <c r="E8" s="43"/>
      <c r="F8" s="43"/>
      <c r="G8" s="43"/>
    </row>
    <row r="9" spans="4:8" ht="15">
      <c r="D9" s="47"/>
      <c r="E9" s="47"/>
      <c r="F9" s="47"/>
      <c r="G9" s="47"/>
      <c r="H9" s="47"/>
    </row>
    <row r="10" spans="3:8" ht="21">
      <c r="C10" s="48" t="s">
        <v>75</v>
      </c>
      <c r="D10" s="47"/>
      <c r="E10" s="47"/>
      <c r="F10" s="47"/>
      <c r="G10" s="47"/>
      <c r="H10" s="47"/>
    </row>
    <row r="11" s="48" customFormat="1" ht="34.5" customHeight="1">
      <c r="H11" s="61" t="s">
        <v>20</v>
      </c>
    </row>
    <row r="12" spans="3:8" s="50" customFormat="1" ht="40.5">
      <c r="C12" s="49" t="s">
        <v>13</v>
      </c>
      <c r="D12" s="49" t="s">
        <v>14</v>
      </c>
      <c r="E12" s="49" t="s">
        <v>172</v>
      </c>
      <c r="F12" s="49" t="s">
        <v>15</v>
      </c>
      <c r="G12" s="49" t="s">
        <v>16</v>
      </c>
      <c r="H12" s="49" t="s">
        <v>11</v>
      </c>
    </row>
    <row r="13" spans="3:8" s="48" customFormat="1" ht="21">
      <c r="C13" s="145" t="s">
        <v>17</v>
      </c>
      <c r="D13" s="146"/>
      <c r="E13" s="146"/>
      <c r="F13" s="146"/>
      <c r="G13" s="146"/>
      <c r="H13" s="147"/>
    </row>
    <row r="14" spans="3:8" s="48" customFormat="1" ht="21">
      <c r="C14" s="15">
        <v>1</v>
      </c>
      <c r="D14" s="15" t="s">
        <v>18</v>
      </c>
      <c r="E14" s="51">
        <v>3368.78</v>
      </c>
      <c r="F14" s="51">
        <v>40424.64</v>
      </c>
      <c r="G14" s="51">
        <v>40446.11</v>
      </c>
      <c r="H14" s="51">
        <f>E14+F14-G14</f>
        <v>3347.3099999999977</v>
      </c>
    </row>
    <row r="15" spans="3:8" s="48" customFormat="1" ht="21">
      <c r="C15" s="15">
        <v>2</v>
      </c>
      <c r="D15" s="15" t="s">
        <v>19</v>
      </c>
      <c r="E15" s="51">
        <v>957.06</v>
      </c>
      <c r="F15" s="51">
        <v>11484.6</v>
      </c>
      <c r="G15" s="51">
        <v>11490.68</v>
      </c>
      <c r="H15" s="51">
        <f>E15+F15-G15</f>
        <v>950.9799999999996</v>
      </c>
    </row>
    <row r="16" spans="3:8" s="48" customFormat="1" ht="41.25">
      <c r="C16" s="15"/>
      <c r="D16" s="52" t="s">
        <v>0</v>
      </c>
      <c r="E16" s="53">
        <f>SUM(E14:E15)</f>
        <v>4325.84</v>
      </c>
      <c r="F16" s="53">
        <f>SUM(F14:F15)</f>
        <v>51909.24</v>
      </c>
      <c r="G16" s="53">
        <f>SUM(G14:G15)</f>
        <v>51936.79</v>
      </c>
      <c r="H16" s="53">
        <f>SUM(H14:H15)</f>
        <v>4298.289999999997</v>
      </c>
    </row>
    <row r="17" spans="3:8" s="48" customFormat="1" ht="21">
      <c r="C17" s="145" t="s">
        <v>21</v>
      </c>
      <c r="D17" s="146"/>
      <c r="E17" s="146"/>
      <c r="F17" s="146"/>
      <c r="G17" s="146"/>
      <c r="H17" s="147"/>
    </row>
    <row r="18" spans="3:8" s="48" customFormat="1" ht="21">
      <c r="C18" s="15">
        <v>3</v>
      </c>
      <c r="D18" s="15" t="s">
        <v>1</v>
      </c>
      <c r="E18" s="51">
        <v>14562.45</v>
      </c>
      <c r="F18" s="55">
        <v>174746.28</v>
      </c>
      <c r="G18" s="55">
        <v>177692.82</v>
      </c>
      <c r="H18" s="55">
        <f>E18+F18-G18</f>
        <v>11615.910000000003</v>
      </c>
    </row>
    <row r="19" spans="3:8" s="48" customFormat="1" ht="21">
      <c r="C19" s="15">
        <v>4</v>
      </c>
      <c r="D19" s="56" t="s">
        <v>2</v>
      </c>
      <c r="E19" s="57">
        <v>2029.08</v>
      </c>
      <c r="F19" s="55">
        <v>30841.18</v>
      </c>
      <c r="G19" s="55">
        <v>30101.4</v>
      </c>
      <c r="H19" s="55">
        <f>E19+F19-G19</f>
        <v>2768.8600000000006</v>
      </c>
    </row>
    <row r="20" spans="3:8" s="48" customFormat="1" ht="21" hidden="1">
      <c r="C20" s="15">
        <v>5</v>
      </c>
      <c r="D20" s="56" t="s">
        <v>7</v>
      </c>
      <c r="E20" s="57"/>
      <c r="F20" s="55"/>
      <c r="G20" s="55"/>
      <c r="H20" s="55">
        <f>E20+F20-G20</f>
        <v>0</v>
      </c>
    </row>
    <row r="21" spans="3:8" s="48" customFormat="1" ht="21">
      <c r="C21" s="15">
        <v>5</v>
      </c>
      <c r="D21" s="56" t="s">
        <v>3</v>
      </c>
      <c r="E21" s="57">
        <v>1156.13</v>
      </c>
      <c r="F21" s="55">
        <v>18727.85</v>
      </c>
      <c r="G21" s="55">
        <v>18135</v>
      </c>
      <c r="H21" s="55">
        <f>E21+F21-G21</f>
        <v>1748.9799999999996</v>
      </c>
    </row>
    <row r="22" spans="3:8" s="48" customFormat="1" ht="41.25" hidden="1">
      <c r="C22" s="15">
        <v>7</v>
      </c>
      <c r="D22" s="56" t="s">
        <v>4</v>
      </c>
      <c r="E22" s="57"/>
      <c r="F22" s="55"/>
      <c r="G22" s="55"/>
      <c r="H22" s="55">
        <f>F22-G22</f>
        <v>0</v>
      </c>
    </row>
    <row r="23" spans="3:8" s="48" customFormat="1" ht="41.25">
      <c r="C23" s="15"/>
      <c r="D23" s="52" t="s">
        <v>5</v>
      </c>
      <c r="E23" s="53">
        <f>SUM(E18:E22)</f>
        <v>17747.66</v>
      </c>
      <c r="F23" s="53">
        <f>SUM(F18:F22)</f>
        <v>224315.31</v>
      </c>
      <c r="G23" s="53">
        <f>SUM(G18:G22)</f>
        <v>225929.22</v>
      </c>
      <c r="H23" s="53">
        <f>SUM(H18:H22)</f>
        <v>16133.750000000004</v>
      </c>
    </row>
    <row r="24" spans="3:8" s="48" customFormat="1" ht="41.25">
      <c r="C24" s="15"/>
      <c r="D24" s="52" t="s">
        <v>6</v>
      </c>
      <c r="E24" s="53">
        <f>E16+E23</f>
        <v>22073.5</v>
      </c>
      <c r="F24" s="53">
        <f>F16+F23</f>
        <v>276224.55</v>
      </c>
      <c r="G24" s="53">
        <f>G16+G23</f>
        <v>277866.01</v>
      </c>
      <c r="H24" s="53">
        <f>H16+H23</f>
        <v>20432.04</v>
      </c>
    </row>
    <row r="25" spans="3:9" s="48" customFormat="1" ht="21">
      <c r="C25" s="58"/>
      <c r="D25" s="59"/>
      <c r="E25" s="59"/>
      <c r="F25" s="60"/>
      <c r="G25" s="60"/>
      <c r="H25" s="60"/>
      <c r="I25" s="94"/>
    </row>
    <row r="26" spans="7:8" s="48" customFormat="1" ht="21">
      <c r="G26" s="61"/>
      <c r="H26" s="61" t="s">
        <v>22</v>
      </c>
    </row>
    <row r="27" spans="3:8" s="48" customFormat="1" ht="25.5">
      <c r="C27" s="148" t="s">
        <v>259</v>
      </c>
      <c r="D27" s="149"/>
      <c r="E27" s="149"/>
      <c r="F27" s="149"/>
      <c r="G27" s="149"/>
      <c r="H27" s="150"/>
    </row>
    <row r="28" spans="3:8" s="48" customFormat="1" ht="63">
      <c r="C28" s="151" t="s">
        <v>260</v>
      </c>
      <c r="D28" s="152"/>
      <c r="E28" s="152"/>
      <c r="F28" s="153"/>
      <c r="G28" s="49" t="s">
        <v>23</v>
      </c>
      <c r="H28" s="62" t="s">
        <v>232</v>
      </c>
    </row>
    <row r="29" spans="3:8" s="48" customFormat="1" ht="179.25" customHeight="1">
      <c r="C29" s="178" t="s">
        <v>265</v>
      </c>
      <c r="D29" s="179"/>
      <c r="E29" s="179"/>
      <c r="F29" s="180"/>
      <c r="G29" s="65">
        <f>F14</f>
        <v>40424.64</v>
      </c>
      <c r="H29" s="65">
        <f>H14</f>
        <v>3347.3099999999977</v>
      </c>
    </row>
    <row r="30" spans="3:8" s="48" customFormat="1" ht="25.5">
      <c r="C30" s="148" t="s">
        <v>258</v>
      </c>
      <c r="D30" s="149"/>
      <c r="E30" s="149"/>
      <c r="F30" s="149"/>
      <c r="G30" s="149"/>
      <c r="H30" s="150"/>
    </row>
    <row r="31" spans="3:8" s="48" customFormat="1" ht="63">
      <c r="C31" s="181" t="s">
        <v>261</v>
      </c>
      <c r="D31" s="182"/>
      <c r="E31" s="164" t="s">
        <v>260</v>
      </c>
      <c r="F31" s="165"/>
      <c r="G31" s="166"/>
      <c r="H31" s="111" t="s">
        <v>262</v>
      </c>
    </row>
    <row r="32" spans="3:8" s="48" customFormat="1" ht="21">
      <c r="C32" s="122"/>
      <c r="D32" s="123">
        <v>3828.19</v>
      </c>
      <c r="E32" s="213" t="s">
        <v>132</v>
      </c>
      <c r="F32" s="214"/>
      <c r="G32" s="57">
        <v>1114.64</v>
      </c>
      <c r="H32" s="51"/>
    </row>
    <row r="33" spans="3:8" s="48" customFormat="1" ht="21">
      <c r="C33" s="118"/>
      <c r="D33" s="124"/>
      <c r="E33" s="213" t="s">
        <v>93</v>
      </c>
      <c r="F33" s="214"/>
      <c r="G33" s="57">
        <v>81.79</v>
      </c>
      <c r="H33" s="51"/>
    </row>
    <row r="34" spans="3:8" s="48" customFormat="1" ht="21">
      <c r="C34" s="118"/>
      <c r="D34" s="124"/>
      <c r="E34" s="222" t="s">
        <v>107</v>
      </c>
      <c r="F34" s="223"/>
      <c r="G34" s="57">
        <v>17980</v>
      </c>
      <c r="H34" s="51"/>
    </row>
    <row r="35" spans="3:8" s="48" customFormat="1" ht="21">
      <c r="C35" s="118"/>
      <c r="D35" s="125"/>
      <c r="E35" s="215" t="s">
        <v>229</v>
      </c>
      <c r="F35" s="216"/>
      <c r="G35" s="83">
        <f>SUM(G32:G34)</f>
        <v>19176.43</v>
      </c>
      <c r="H35" s="91">
        <f>G15-G35</f>
        <v>-7685.75</v>
      </c>
    </row>
    <row r="36" spans="3:8" s="48" customFormat="1" ht="21">
      <c r="C36" s="72"/>
      <c r="D36" s="114"/>
      <c r="E36" s="215" t="s">
        <v>230</v>
      </c>
      <c r="F36" s="216"/>
      <c r="G36" s="83"/>
      <c r="H36" s="91">
        <f>D32+H35</f>
        <v>-3857.56</v>
      </c>
    </row>
    <row r="37" spans="3:8" s="48" customFormat="1" ht="21">
      <c r="C37" s="116">
        <v>3</v>
      </c>
      <c r="D37" s="115" t="s">
        <v>24</v>
      </c>
      <c r="E37" s="52"/>
      <c r="F37" s="76" t="s">
        <v>191</v>
      </c>
      <c r="G37" s="66"/>
      <c r="H37" s="15"/>
    </row>
    <row r="38" spans="3:8" s="48" customFormat="1" ht="21">
      <c r="C38" s="159"/>
      <c r="D38" s="157"/>
      <c r="E38" s="69"/>
      <c r="F38" s="92" t="s">
        <v>10</v>
      </c>
      <c r="G38" s="66"/>
      <c r="H38" s="15"/>
    </row>
    <row r="39" spans="3:8" s="48" customFormat="1" ht="21">
      <c r="C39" s="158"/>
      <c r="D39" s="158"/>
      <c r="E39" s="70"/>
      <c r="F39" s="86"/>
      <c r="G39" s="66"/>
      <c r="H39" s="15"/>
    </row>
    <row r="40" spans="3:8" s="48" customFormat="1" ht="21">
      <c r="C40" s="158"/>
      <c r="D40" s="158"/>
      <c r="E40" s="70"/>
      <c r="F40" s="86"/>
      <c r="G40" s="66"/>
      <c r="H40" s="15"/>
    </row>
    <row r="41" spans="3:8" s="48" customFormat="1" ht="21">
      <c r="C41" s="158"/>
      <c r="D41" s="158"/>
      <c r="E41" s="70"/>
      <c r="F41" s="86"/>
      <c r="G41" s="66"/>
      <c r="H41" s="15"/>
    </row>
    <row r="42" spans="3:9" s="48" customFormat="1" ht="21">
      <c r="C42" s="90"/>
      <c r="D42" s="90"/>
      <c r="E42" s="90"/>
      <c r="F42" s="86"/>
      <c r="G42" s="66"/>
      <c r="H42" s="15"/>
      <c r="I42" s="61" t="s">
        <v>52</v>
      </c>
    </row>
    <row r="43" spans="3:9" s="81" customFormat="1" ht="61.5">
      <c r="C43" s="49" t="s">
        <v>13</v>
      </c>
      <c r="D43" s="49" t="s">
        <v>55</v>
      </c>
      <c r="E43" s="49" t="s">
        <v>53</v>
      </c>
      <c r="F43" s="49" t="s">
        <v>189</v>
      </c>
      <c r="G43" s="49" t="s">
        <v>190</v>
      </c>
      <c r="H43" s="77" t="s">
        <v>185</v>
      </c>
      <c r="I43" s="78" t="s">
        <v>54</v>
      </c>
    </row>
    <row r="44" spans="3:9" s="79" customFormat="1" ht="21">
      <c r="C44" s="15">
        <v>1</v>
      </c>
      <c r="D44" s="15" t="s">
        <v>192</v>
      </c>
      <c r="E44" s="51">
        <v>34840</v>
      </c>
      <c r="F44" s="51">
        <v>17456.16</v>
      </c>
      <c r="G44" s="51">
        <v>14565.29</v>
      </c>
      <c r="H44" s="80">
        <f>F44-G44</f>
        <v>2890.869999999999</v>
      </c>
      <c r="I44" s="51">
        <f>E44-G44</f>
        <v>20274.71</v>
      </c>
    </row>
    <row r="45" spans="3:9" ht="21">
      <c r="C45" s="15"/>
      <c r="D45" s="15"/>
      <c r="E45" s="15"/>
      <c r="F45" s="15"/>
      <c r="G45" s="95"/>
      <c r="H45" s="15"/>
      <c r="I45" s="15"/>
    </row>
    <row r="48" spans="4:5" ht="26.25">
      <c r="D48" s="43"/>
      <c r="E48" s="43"/>
    </row>
    <row r="49" spans="4:5" ht="26.25">
      <c r="D49" s="43"/>
      <c r="E49" s="43"/>
    </row>
  </sheetData>
  <sheetProtection/>
  <mergeCells count="15">
    <mergeCell ref="C38:C41"/>
    <mergeCell ref="D38:D41"/>
    <mergeCell ref="E34:F34"/>
    <mergeCell ref="E33:F33"/>
    <mergeCell ref="C27:H27"/>
    <mergeCell ref="C28:F28"/>
    <mergeCell ref="C29:F29"/>
    <mergeCell ref="C30:H30"/>
    <mergeCell ref="E36:F36"/>
    <mergeCell ref="C31:D31"/>
    <mergeCell ref="E31:G31"/>
    <mergeCell ref="E32:F32"/>
    <mergeCell ref="E35:F35"/>
    <mergeCell ref="C13:H13"/>
    <mergeCell ref="C17:H17"/>
  </mergeCells>
  <printOptions/>
  <pageMargins left="0.25" right="0.25" top="0.75" bottom="0.75" header="0.3" footer="0.3"/>
  <pageSetup horizontalDpi="600" verticalDpi="600" orientation="landscape" paperSize="9" scale="50" r:id="rId2"/>
  <rowBreaks count="1" manualBreakCount="1">
    <brk id="29" min="2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view="pageBreakPreview" zoomScale="73" zoomScaleSheetLayoutView="73" zoomScalePageLayoutView="0" workbookViewId="0" topLeftCell="A53">
      <selection activeCell="A66" sqref="A66:D67"/>
    </sheetView>
  </sheetViews>
  <sheetFormatPr defaultColWidth="9.140625" defaultRowHeight="15"/>
  <cols>
    <col min="1" max="1" width="9.00390625" style="45" customWidth="1"/>
    <col min="2" max="2" width="45.28125" style="45" customWidth="1"/>
    <col min="3" max="3" width="37.8515625" style="45" customWidth="1"/>
    <col min="4" max="4" width="44.421875" style="45" customWidth="1"/>
    <col min="5" max="5" width="34.140625" style="45" customWidth="1"/>
    <col min="6" max="6" width="31.7109375" style="45" customWidth="1"/>
    <col min="7" max="16384" width="9.140625" style="45" customWidth="1"/>
  </cols>
  <sheetData>
    <row r="1" spans="2:5" s="43" customFormat="1" ht="28.5">
      <c r="B1" s="44" t="s">
        <v>26</v>
      </c>
      <c r="C1" s="44"/>
      <c r="D1" s="44"/>
      <c r="E1" s="44"/>
    </row>
    <row r="2" spans="2:5" s="43" customFormat="1" ht="28.5">
      <c r="B2" s="44" t="s">
        <v>27</v>
      </c>
      <c r="C2" s="44"/>
      <c r="D2" s="44"/>
      <c r="E2" s="44"/>
    </row>
    <row r="3" spans="2:6" ht="18.75">
      <c r="B3" s="46" t="s">
        <v>28</v>
      </c>
      <c r="C3" s="46"/>
      <c r="D3" s="46"/>
      <c r="E3" s="46"/>
      <c r="F3" s="47"/>
    </row>
    <row r="4" spans="2:6" ht="18.75">
      <c r="B4" s="46" t="s">
        <v>29</v>
      </c>
      <c r="C4" s="46"/>
      <c r="D4" s="46"/>
      <c r="E4" s="46"/>
      <c r="F4" s="47"/>
    </row>
    <row r="5" spans="2:6" ht="15">
      <c r="B5" s="47"/>
      <c r="C5" s="47"/>
      <c r="D5" s="47"/>
      <c r="E5" s="47"/>
      <c r="F5" s="47"/>
    </row>
    <row r="6" spans="2:5" s="48" customFormat="1" ht="26.25">
      <c r="B6" s="43" t="s">
        <v>30</v>
      </c>
      <c r="C6" s="43"/>
      <c r="D6" s="43"/>
      <c r="E6" s="43"/>
    </row>
    <row r="7" spans="2:5" s="48" customFormat="1" ht="26.25">
      <c r="B7" s="43" t="s">
        <v>35</v>
      </c>
      <c r="C7" s="43"/>
      <c r="D7" s="43"/>
      <c r="E7" s="43"/>
    </row>
    <row r="8" spans="2:5" s="48" customFormat="1" ht="26.25">
      <c r="B8" s="43" t="s">
        <v>90</v>
      </c>
      <c r="C8" s="43"/>
      <c r="D8" s="43"/>
      <c r="E8" s="43"/>
    </row>
    <row r="9" spans="2:6" ht="15">
      <c r="B9" s="47"/>
      <c r="C9" s="47"/>
      <c r="D9" s="47"/>
      <c r="E9" s="47"/>
      <c r="F9" s="47"/>
    </row>
    <row r="10" spans="1:6" ht="21">
      <c r="A10" s="48" t="s">
        <v>32</v>
      </c>
      <c r="B10" s="47"/>
      <c r="C10" s="47"/>
      <c r="D10" s="47"/>
      <c r="E10" s="47"/>
      <c r="F10" s="47"/>
    </row>
    <row r="11" s="48" customFormat="1" ht="34.5" customHeight="1">
      <c r="F11" s="61" t="s">
        <v>20</v>
      </c>
    </row>
    <row r="12" spans="1:6" s="50" customFormat="1" ht="40.5">
      <c r="A12" s="49" t="s">
        <v>13</v>
      </c>
      <c r="B12" s="49" t="s">
        <v>14</v>
      </c>
      <c r="C12" s="49" t="s">
        <v>172</v>
      </c>
      <c r="D12" s="49" t="s">
        <v>15</v>
      </c>
      <c r="E12" s="49" t="s">
        <v>16</v>
      </c>
      <c r="F12" s="49" t="s">
        <v>11</v>
      </c>
    </row>
    <row r="13" spans="1:6" s="48" customFormat="1" ht="21">
      <c r="A13" s="145" t="s">
        <v>17</v>
      </c>
      <c r="B13" s="146"/>
      <c r="C13" s="146"/>
      <c r="D13" s="146"/>
      <c r="E13" s="146"/>
      <c r="F13" s="147"/>
    </row>
    <row r="14" spans="1:6" s="48" customFormat="1" ht="21">
      <c r="A14" s="15">
        <v>1</v>
      </c>
      <c r="B14" s="15" t="s">
        <v>18</v>
      </c>
      <c r="C14" s="51">
        <v>62195.08</v>
      </c>
      <c r="D14" s="51">
        <f>468371.94-1807.07</f>
        <v>466564.87</v>
      </c>
      <c r="E14" s="51">
        <v>458809.05</v>
      </c>
      <c r="F14" s="51">
        <f>C14+D14-E14</f>
        <v>69950.89999999997</v>
      </c>
    </row>
    <row r="15" spans="1:6" s="48" customFormat="1" ht="21">
      <c r="A15" s="15">
        <v>2</v>
      </c>
      <c r="B15" s="15" t="s">
        <v>19</v>
      </c>
      <c r="C15" s="51">
        <v>17304.64</v>
      </c>
      <c r="D15" s="51">
        <f>126458.6-480.55-17015.59</f>
        <v>108962.46</v>
      </c>
      <c r="E15" s="51">
        <v>126652.21</v>
      </c>
      <c r="F15" s="51">
        <f>C15+D15-E15</f>
        <v>-385.1100000000006</v>
      </c>
    </row>
    <row r="16" spans="1:6" s="48" customFormat="1" ht="21" hidden="1">
      <c r="A16" s="15"/>
      <c r="B16" s="82" t="s">
        <v>250</v>
      </c>
      <c r="C16" s="51"/>
      <c r="D16" s="51"/>
      <c r="E16" s="51"/>
      <c r="F16" s="51">
        <f>C16+D16-E16</f>
        <v>0</v>
      </c>
    </row>
    <row r="17" spans="1:6" s="48" customFormat="1" ht="41.25" customHeight="1">
      <c r="A17" s="15"/>
      <c r="B17" s="52" t="s">
        <v>0</v>
      </c>
      <c r="C17" s="53">
        <f>SUM(C14:C16)</f>
        <v>79499.72</v>
      </c>
      <c r="D17" s="53">
        <f>SUM(D14:D16)</f>
        <v>575527.33</v>
      </c>
      <c r="E17" s="53">
        <f>SUM(E14:E16)</f>
        <v>585461.26</v>
      </c>
      <c r="F17" s="53">
        <f>SUM(F14:F16)</f>
        <v>69565.78999999996</v>
      </c>
    </row>
    <row r="18" spans="1:6" s="48" customFormat="1" ht="21">
      <c r="A18" s="145" t="s">
        <v>21</v>
      </c>
      <c r="B18" s="146"/>
      <c r="C18" s="146"/>
      <c r="D18" s="146"/>
      <c r="E18" s="146"/>
      <c r="F18" s="147"/>
    </row>
    <row r="19" spans="1:6" s="48" customFormat="1" ht="21">
      <c r="A19" s="15">
        <v>3</v>
      </c>
      <c r="B19" s="15" t="s">
        <v>1</v>
      </c>
      <c r="C19" s="51">
        <v>124479.63</v>
      </c>
      <c r="D19" s="55">
        <f>944722.44-3471.29-3130.07</f>
        <v>938121.08</v>
      </c>
      <c r="E19" s="55">
        <v>932293.52</v>
      </c>
      <c r="F19" s="55">
        <f>C19+D19-E19</f>
        <v>130307.18999999994</v>
      </c>
    </row>
    <row r="20" spans="1:6" s="48" customFormat="1" ht="21">
      <c r="A20" s="15">
        <v>4</v>
      </c>
      <c r="B20" s="56" t="s">
        <v>2</v>
      </c>
      <c r="C20" s="57">
        <v>22932.34</v>
      </c>
      <c r="D20" s="55">
        <f>138115.05-2465.98</f>
        <v>135649.06999999998</v>
      </c>
      <c r="E20" s="55">
        <v>140312.11</v>
      </c>
      <c r="F20" s="55">
        <f>C20+D20-E20</f>
        <v>18269.29999999999</v>
      </c>
    </row>
    <row r="21" spans="1:6" s="48" customFormat="1" ht="21">
      <c r="A21" s="15">
        <v>5</v>
      </c>
      <c r="B21" s="56" t="s">
        <v>7</v>
      </c>
      <c r="C21" s="57">
        <v>66900.12</v>
      </c>
      <c r="D21" s="55">
        <f>440691.1-8452.91</f>
        <v>432238.19</v>
      </c>
      <c r="E21" s="55">
        <v>439069.3</v>
      </c>
      <c r="F21" s="55">
        <f>C21+D21-E21</f>
        <v>60069.01000000001</v>
      </c>
    </row>
    <row r="22" spans="1:6" s="48" customFormat="1" ht="21">
      <c r="A22" s="15">
        <v>6</v>
      </c>
      <c r="B22" s="56" t="s">
        <v>3</v>
      </c>
      <c r="C22" s="57">
        <v>16575.97</v>
      </c>
      <c r="D22" s="55">
        <f>137600.65-2273.92</f>
        <v>135326.72999999998</v>
      </c>
      <c r="E22" s="55">
        <v>133646.78</v>
      </c>
      <c r="F22" s="55">
        <f>C22+D22-E22</f>
        <v>18255.919999999984</v>
      </c>
    </row>
    <row r="23" spans="1:6" s="48" customFormat="1" ht="21">
      <c r="A23" s="15">
        <v>7</v>
      </c>
      <c r="B23" s="56" t="s">
        <v>4</v>
      </c>
      <c r="C23" s="57">
        <v>19994.18</v>
      </c>
      <c r="D23" s="55">
        <f>249904.61+5630.84</f>
        <v>255535.44999999998</v>
      </c>
      <c r="E23" s="55">
        <v>243720.8</v>
      </c>
      <c r="F23" s="55">
        <f>C23+D23-E23</f>
        <v>31808.830000000016</v>
      </c>
    </row>
    <row r="24" spans="1:6" s="48" customFormat="1" ht="41.25">
      <c r="A24" s="15"/>
      <c r="B24" s="52" t="s">
        <v>5</v>
      </c>
      <c r="C24" s="53">
        <f>SUM(C19:C23)</f>
        <v>250882.24</v>
      </c>
      <c r="D24" s="53">
        <f>SUM(D19:D23)</f>
        <v>1896870.5199999998</v>
      </c>
      <c r="E24" s="53">
        <f>SUM(E19:E23)</f>
        <v>1889042.51</v>
      </c>
      <c r="F24" s="53">
        <f>SUM(F19:F23)</f>
        <v>258710.24999999994</v>
      </c>
    </row>
    <row r="25" spans="1:6" s="48" customFormat="1" ht="41.25">
      <c r="A25" s="15"/>
      <c r="B25" s="52" t="s">
        <v>6</v>
      </c>
      <c r="C25" s="53">
        <f>C17+C24</f>
        <v>330381.95999999996</v>
      </c>
      <c r="D25" s="53">
        <f>D17+D24</f>
        <v>2472397.8499999996</v>
      </c>
      <c r="E25" s="53">
        <f>E17+E24</f>
        <v>2474503.77</v>
      </c>
      <c r="F25" s="53">
        <f>F17+F24</f>
        <v>328276.0399999999</v>
      </c>
    </row>
    <row r="26" spans="1:6" s="48" customFormat="1" ht="21">
      <c r="A26" s="58"/>
      <c r="B26" s="59"/>
      <c r="C26" s="59"/>
      <c r="D26" s="60"/>
      <c r="E26" s="60"/>
      <c r="F26" s="60"/>
    </row>
    <row r="27" spans="1:6" s="48" customFormat="1" ht="21">
      <c r="A27" s="58"/>
      <c r="B27" s="59"/>
      <c r="C27" s="59"/>
      <c r="D27" s="60"/>
      <c r="E27" s="60"/>
      <c r="F27" s="60"/>
    </row>
    <row r="28" spans="5:6" s="48" customFormat="1" ht="21">
      <c r="E28" s="61"/>
      <c r="F28" s="61" t="s">
        <v>22</v>
      </c>
    </row>
    <row r="29" spans="5:6" s="48" customFormat="1" ht="21">
      <c r="E29" s="61"/>
      <c r="F29" s="61"/>
    </row>
    <row r="30" spans="1:6" s="48" customFormat="1" ht="42.75" customHeight="1">
      <c r="A30" s="148" t="s">
        <v>259</v>
      </c>
      <c r="B30" s="149"/>
      <c r="C30" s="149"/>
      <c r="D30" s="149"/>
      <c r="E30" s="149"/>
      <c r="F30" s="150"/>
    </row>
    <row r="31" spans="1:6" s="63" customFormat="1" ht="42">
      <c r="A31" s="151" t="s">
        <v>260</v>
      </c>
      <c r="B31" s="152"/>
      <c r="C31" s="152"/>
      <c r="D31" s="153"/>
      <c r="E31" s="49" t="s">
        <v>23</v>
      </c>
      <c r="F31" s="62" t="s">
        <v>232</v>
      </c>
    </row>
    <row r="32" spans="1:6" s="48" customFormat="1" ht="171" customHeight="1">
      <c r="A32" s="154" t="s">
        <v>264</v>
      </c>
      <c r="B32" s="155"/>
      <c r="C32" s="155"/>
      <c r="D32" s="156"/>
      <c r="E32" s="65">
        <f>D14</f>
        <v>466564.87</v>
      </c>
      <c r="F32" s="65">
        <f>F14</f>
        <v>69950.89999999997</v>
      </c>
    </row>
    <row r="33" spans="1:6" s="48" customFormat="1" ht="39.75" customHeight="1">
      <c r="A33" s="148" t="s">
        <v>258</v>
      </c>
      <c r="B33" s="149"/>
      <c r="C33" s="149"/>
      <c r="D33" s="149"/>
      <c r="E33" s="149"/>
      <c r="F33" s="150"/>
    </row>
    <row r="34" spans="1:6" s="48" customFormat="1" ht="87.75" customHeight="1">
      <c r="A34" s="162" t="s">
        <v>261</v>
      </c>
      <c r="B34" s="163"/>
      <c r="C34" s="164" t="s">
        <v>260</v>
      </c>
      <c r="D34" s="165"/>
      <c r="E34" s="166"/>
      <c r="F34" s="111" t="s">
        <v>262</v>
      </c>
    </row>
    <row r="35" spans="1:6" s="48" customFormat="1" ht="21">
      <c r="A35" s="171"/>
      <c r="B35" s="174">
        <v>37239.91</v>
      </c>
      <c r="C35" s="144" t="s">
        <v>173</v>
      </c>
      <c r="D35" s="144"/>
      <c r="E35" s="57">
        <v>583.6</v>
      </c>
      <c r="F35" s="54"/>
    </row>
    <row r="36" spans="1:6" s="48" customFormat="1" ht="21">
      <c r="A36" s="172"/>
      <c r="B36" s="175"/>
      <c r="C36" s="144" t="s">
        <v>174</v>
      </c>
      <c r="D36" s="144"/>
      <c r="E36" s="57">
        <v>830</v>
      </c>
      <c r="F36" s="54"/>
    </row>
    <row r="37" spans="1:6" s="48" customFormat="1" ht="21">
      <c r="A37" s="172"/>
      <c r="B37" s="175"/>
      <c r="C37" s="144" t="s">
        <v>175</v>
      </c>
      <c r="D37" s="144"/>
      <c r="E37" s="57">
        <v>255</v>
      </c>
      <c r="F37" s="54"/>
    </row>
    <row r="38" spans="1:6" s="48" customFormat="1" ht="21">
      <c r="A38" s="172"/>
      <c r="B38" s="175"/>
      <c r="C38" s="167" t="s">
        <v>176</v>
      </c>
      <c r="D38" s="168"/>
      <c r="E38" s="57">
        <v>26.8</v>
      </c>
      <c r="F38" s="54"/>
    </row>
    <row r="39" spans="1:6" s="48" customFormat="1" ht="21">
      <c r="A39" s="172"/>
      <c r="B39" s="175"/>
      <c r="C39" s="167" t="s">
        <v>167</v>
      </c>
      <c r="D39" s="168"/>
      <c r="E39" s="57">
        <v>1871.72</v>
      </c>
      <c r="F39" s="54"/>
    </row>
    <row r="40" spans="1:6" s="48" customFormat="1" ht="21">
      <c r="A40" s="172"/>
      <c r="B40" s="175"/>
      <c r="C40" s="167" t="s">
        <v>177</v>
      </c>
      <c r="D40" s="168"/>
      <c r="E40" s="57">
        <v>3416.48</v>
      </c>
      <c r="F40" s="54"/>
    </row>
    <row r="41" spans="1:6" s="48" customFormat="1" ht="21">
      <c r="A41" s="172"/>
      <c r="B41" s="175"/>
      <c r="C41" s="167" t="s">
        <v>178</v>
      </c>
      <c r="D41" s="168"/>
      <c r="E41" s="57">
        <v>2910</v>
      </c>
      <c r="F41" s="54"/>
    </row>
    <row r="42" spans="1:6" s="48" customFormat="1" ht="21">
      <c r="A42" s="172"/>
      <c r="B42" s="175"/>
      <c r="C42" s="167" t="s">
        <v>33</v>
      </c>
      <c r="D42" s="168"/>
      <c r="E42" s="57">
        <v>8934.4</v>
      </c>
      <c r="F42" s="54"/>
    </row>
    <row r="43" spans="1:6" s="48" customFormat="1" ht="21">
      <c r="A43" s="172"/>
      <c r="B43" s="175"/>
      <c r="C43" s="167" t="s">
        <v>179</v>
      </c>
      <c r="D43" s="168"/>
      <c r="E43" s="57">
        <v>151.25</v>
      </c>
      <c r="F43" s="54"/>
    </row>
    <row r="44" spans="1:6" s="48" customFormat="1" ht="21">
      <c r="A44" s="172"/>
      <c r="B44" s="175"/>
      <c r="C44" s="167" t="s">
        <v>102</v>
      </c>
      <c r="D44" s="168"/>
      <c r="E44" s="57">
        <v>3770</v>
      </c>
      <c r="F44" s="54"/>
    </row>
    <row r="45" spans="1:6" s="48" customFormat="1" ht="21">
      <c r="A45" s="172"/>
      <c r="B45" s="175"/>
      <c r="C45" s="167" t="s">
        <v>132</v>
      </c>
      <c r="D45" s="168"/>
      <c r="E45" s="57">
        <v>12685.6</v>
      </c>
      <c r="F45" s="54"/>
    </row>
    <row r="46" spans="1:6" s="48" customFormat="1" ht="21">
      <c r="A46" s="172"/>
      <c r="B46" s="175"/>
      <c r="C46" s="167" t="s">
        <v>180</v>
      </c>
      <c r="D46" s="168"/>
      <c r="E46" s="57">
        <v>2818.25</v>
      </c>
      <c r="F46" s="54"/>
    </row>
    <row r="47" spans="1:6" s="48" customFormat="1" ht="21">
      <c r="A47" s="172"/>
      <c r="B47" s="175"/>
      <c r="C47" s="167" t="s">
        <v>181</v>
      </c>
      <c r="D47" s="168"/>
      <c r="E47" s="57">
        <v>8192.82</v>
      </c>
      <c r="F47" s="54"/>
    </row>
    <row r="48" spans="1:6" s="48" customFormat="1" ht="21">
      <c r="A48" s="172"/>
      <c r="B48" s="175"/>
      <c r="C48" s="167" t="s">
        <v>182</v>
      </c>
      <c r="D48" s="168"/>
      <c r="E48" s="57">
        <v>5607.84</v>
      </c>
      <c r="F48" s="54"/>
    </row>
    <row r="49" spans="1:6" s="48" customFormat="1" ht="21">
      <c r="A49" s="172"/>
      <c r="B49" s="175"/>
      <c r="C49" s="167" t="s">
        <v>93</v>
      </c>
      <c r="D49" s="168"/>
      <c r="E49" s="57">
        <v>892.91</v>
      </c>
      <c r="F49" s="54"/>
    </row>
    <row r="50" spans="1:6" s="48" customFormat="1" ht="21">
      <c r="A50" s="172"/>
      <c r="B50" s="175"/>
      <c r="C50" s="167" t="s">
        <v>143</v>
      </c>
      <c r="D50" s="168"/>
      <c r="E50" s="57">
        <v>8813.78</v>
      </c>
      <c r="F50" s="54"/>
    </row>
    <row r="51" spans="1:6" s="48" customFormat="1" ht="21">
      <c r="A51" s="172"/>
      <c r="B51" s="175"/>
      <c r="C51" s="167" t="s">
        <v>183</v>
      </c>
      <c r="D51" s="168"/>
      <c r="E51" s="57">
        <v>4000</v>
      </c>
      <c r="F51" s="54"/>
    </row>
    <row r="52" spans="1:6" s="48" customFormat="1" ht="21">
      <c r="A52" s="172"/>
      <c r="B52" s="175"/>
      <c r="C52" s="167" t="s">
        <v>125</v>
      </c>
      <c r="D52" s="168"/>
      <c r="E52" s="57">
        <v>1709.94</v>
      </c>
      <c r="F52" s="54"/>
    </row>
    <row r="53" spans="1:6" s="48" customFormat="1" ht="21">
      <c r="A53" s="172"/>
      <c r="B53" s="175"/>
      <c r="C53" s="167" t="s">
        <v>107</v>
      </c>
      <c r="D53" s="168"/>
      <c r="E53" s="57">
        <v>83254</v>
      </c>
      <c r="F53" s="54"/>
    </row>
    <row r="54" spans="1:6" s="48" customFormat="1" ht="21">
      <c r="A54" s="172"/>
      <c r="B54" s="175"/>
      <c r="C54" s="167" t="s">
        <v>184</v>
      </c>
      <c r="D54" s="168"/>
      <c r="E54" s="57">
        <v>947</v>
      </c>
      <c r="F54" s="54"/>
    </row>
    <row r="55" spans="1:6" s="48" customFormat="1" ht="21">
      <c r="A55" s="172"/>
      <c r="B55" s="175"/>
      <c r="C55" s="167" t="s">
        <v>263</v>
      </c>
      <c r="D55" s="168"/>
      <c r="E55" s="57">
        <v>17015.59</v>
      </c>
      <c r="F55" s="54"/>
    </row>
    <row r="56" spans="1:6" s="48" customFormat="1" ht="21">
      <c r="A56" s="172"/>
      <c r="B56" s="175"/>
      <c r="C56" s="169" t="s">
        <v>229</v>
      </c>
      <c r="D56" s="170"/>
      <c r="E56" s="83">
        <f>SUM(E35:E55)</f>
        <v>168686.98</v>
      </c>
      <c r="F56" s="83">
        <f>E15-E56</f>
        <v>-42034.770000000004</v>
      </c>
    </row>
    <row r="57" spans="1:6" s="48" customFormat="1" ht="21">
      <c r="A57" s="173"/>
      <c r="B57" s="176"/>
      <c r="C57" s="169" t="s">
        <v>230</v>
      </c>
      <c r="D57" s="170"/>
      <c r="E57" s="57"/>
      <c r="F57" s="83">
        <f>B35+F56</f>
        <v>-4794.860000000001</v>
      </c>
    </row>
    <row r="58" spans="1:6" s="48" customFormat="1" ht="21">
      <c r="A58" s="64">
        <v>3</v>
      </c>
      <c r="B58" s="52" t="s">
        <v>24</v>
      </c>
      <c r="C58" s="52"/>
      <c r="D58" s="76" t="s">
        <v>33</v>
      </c>
      <c r="E58" s="66"/>
      <c r="F58" s="15"/>
    </row>
    <row r="59" spans="1:6" s="48" customFormat="1" ht="21">
      <c r="A59" s="159"/>
      <c r="B59" s="157"/>
      <c r="C59" s="69"/>
      <c r="D59" s="76" t="s">
        <v>206</v>
      </c>
      <c r="E59" s="66"/>
      <c r="F59" s="15"/>
    </row>
    <row r="60" spans="1:6" s="48" customFormat="1" ht="21">
      <c r="A60" s="158"/>
      <c r="B60" s="158"/>
      <c r="C60" s="70"/>
      <c r="D60" s="76" t="s">
        <v>207</v>
      </c>
      <c r="E60" s="66"/>
      <c r="F60" s="15"/>
    </row>
    <row r="61" spans="1:6" s="48" customFormat="1" ht="21">
      <c r="A61" s="158"/>
      <c r="B61" s="158"/>
      <c r="C61" s="70"/>
      <c r="D61" s="76" t="s">
        <v>195</v>
      </c>
      <c r="E61" s="66"/>
      <c r="F61" s="15"/>
    </row>
    <row r="62" spans="1:6" s="48" customFormat="1" ht="36">
      <c r="A62" s="158"/>
      <c r="B62" s="158"/>
      <c r="C62" s="70"/>
      <c r="D62" s="76" t="s">
        <v>231</v>
      </c>
      <c r="E62" s="66"/>
      <c r="F62" s="15"/>
    </row>
    <row r="63" spans="1:6" s="48" customFormat="1" ht="21">
      <c r="A63" s="161"/>
      <c r="B63" s="161"/>
      <c r="C63" s="71"/>
      <c r="D63" s="76" t="s">
        <v>208</v>
      </c>
      <c r="E63" s="66"/>
      <c r="F63" s="15"/>
    </row>
    <row r="64" s="79" customFormat="1" ht="15"/>
    <row r="65" s="79" customFormat="1" ht="15"/>
    <row r="66" spans="1:4" s="81" customFormat="1" ht="26.25">
      <c r="A66" s="43"/>
      <c r="B66" s="43"/>
      <c r="C66" s="45"/>
      <c r="D66" s="45"/>
    </row>
    <row r="67" spans="1:4" s="79" customFormat="1" ht="26.25">
      <c r="A67" s="43"/>
      <c r="B67" s="43"/>
      <c r="C67" s="45"/>
      <c r="D67" s="45"/>
    </row>
  </sheetData>
  <sheetProtection/>
  <mergeCells count="35">
    <mergeCell ref="A13:F13"/>
    <mergeCell ref="A18:F18"/>
    <mergeCell ref="A59:A63"/>
    <mergeCell ref="B59:B63"/>
    <mergeCell ref="A33:F33"/>
    <mergeCell ref="A30:F30"/>
    <mergeCell ref="A32:D32"/>
    <mergeCell ref="A31:D31"/>
    <mergeCell ref="C35:D35"/>
    <mergeCell ref="C36:D36"/>
    <mergeCell ref="C37:D37"/>
    <mergeCell ref="C34:E34"/>
    <mergeCell ref="C38:D38"/>
    <mergeCell ref="C39:D39"/>
    <mergeCell ref="C40:D40"/>
    <mergeCell ref="C41:D41"/>
    <mergeCell ref="C42:D42"/>
    <mergeCell ref="C43:D43"/>
    <mergeCell ref="C44:D44"/>
    <mergeCell ref="C45:D45"/>
    <mergeCell ref="C53:D53"/>
    <mergeCell ref="C46:D46"/>
    <mergeCell ref="C47:D47"/>
    <mergeCell ref="C48:D48"/>
    <mergeCell ref="C49:D49"/>
    <mergeCell ref="C54:D54"/>
    <mergeCell ref="C56:D56"/>
    <mergeCell ref="C57:D57"/>
    <mergeCell ref="A34:B34"/>
    <mergeCell ref="C55:D55"/>
    <mergeCell ref="A35:A57"/>
    <mergeCell ref="B35:B57"/>
    <mergeCell ref="C50:D50"/>
    <mergeCell ref="C51:D51"/>
    <mergeCell ref="C52:D52"/>
  </mergeCells>
  <printOptions/>
  <pageMargins left="0.25" right="0.25" top="0.75" bottom="0.75" header="0.3" footer="0.3"/>
  <pageSetup horizontalDpi="600" verticalDpi="600" orientation="landscape" paperSize="9" scale="52" r:id="rId2"/>
  <rowBreaks count="1" manualBreakCount="1">
    <brk id="32" max="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1:I55"/>
  <sheetViews>
    <sheetView view="pageBreakPreview" zoomScale="73" zoomScaleSheetLayoutView="73" zoomScalePageLayoutView="0" workbookViewId="0" topLeftCell="B42">
      <selection activeCell="D54" sqref="D54:F55"/>
    </sheetView>
  </sheetViews>
  <sheetFormatPr defaultColWidth="9.140625" defaultRowHeight="15"/>
  <cols>
    <col min="1" max="2" width="9.140625" style="45" customWidth="1"/>
    <col min="3" max="3" width="9.8515625" style="45" customWidth="1"/>
    <col min="4" max="4" width="34.7109375" style="45" customWidth="1"/>
    <col min="5" max="5" width="37.8515625" style="45" customWidth="1"/>
    <col min="6" max="6" width="48.57421875" style="45" customWidth="1"/>
    <col min="7" max="7" width="34.140625" style="45" customWidth="1"/>
    <col min="8" max="8" width="46.00390625" style="45" customWidth="1"/>
    <col min="9" max="9" width="22.421875" style="45" customWidth="1"/>
    <col min="10" max="16384" width="9.140625" style="45" customWidth="1"/>
  </cols>
  <sheetData>
    <row r="1" spans="4:7" s="43" customFormat="1" ht="28.5">
      <c r="D1" s="44" t="s">
        <v>26</v>
      </c>
      <c r="E1" s="44"/>
      <c r="F1" s="44"/>
      <c r="G1" s="44"/>
    </row>
    <row r="2" spans="4:7" s="43" customFormat="1" ht="28.5">
      <c r="D2" s="44" t="s">
        <v>27</v>
      </c>
      <c r="E2" s="44"/>
      <c r="F2" s="44"/>
      <c r="G2" s="44"/>
    </row>
    <row r="3" spans="4:8" ht="18.75">
      <c r="D3" s="46" t="s">
        <v>28</v>
      </c>
      <c r="E3" s="46"/>
      <c r="F3" s="46"/>
      <c r="G3" s="46"/>
      <c r="H3" s="47"/>
    </row>
    <row r="4" spans="4:8" ht="18.75">
      <c r="D4" s="46" t="s">
        <v>29</v>
      </c>
      <c r="E4" s="46"/>
      <c r="F4" s="46"/>
      <c r="G4" s="46"/>
      <c r="H4" s="47"/>
    </row>
    <row r="5" spans="4:8" ht="15">
      <c r="D5" s="47"/>
      <c r="E5" s="47"/>
      <c r="F5" s="47"/>
      <c r="G5" s="47"/>
      <c r="H5" s="47"/>
    </row>
    <row r="6" spans="4:7" s="48" customFormat="1" ht="26.25">
      <c r="D6" s="43" t="s">
        <v>30</v>
      </c>
      <c r="E6" s="43"/>
      <c r="F6" s="43"/>
      <c r="G6" s="43"/>
    </row>
    <row r="7" spans="4:7" s="48" customFormat="1" ht="26.25">
      <c r="D7" s="43" t="s">
        <v>76</v>
      </c>
      <c r="E7" s="43"/>
      <c r="F7" s="43"/>
      <c r="G7" s="43"/>
    </row>
    <row r="8" spans="4:7" s="48" customFormat="1" ht="26.25">
      <c r="D8" s="43" t="s">
        <v>90</v>
      </c>
      <c r="E8" s="43"/>
      <c r="F8" s="43"/>
      <c r="G8" s="43"/>
    </row>
    <row r="9" spans="4:8" ht="15">
      <c r="D9" s="47"/>
      <c r="E9" s="47"/>
      <c r="F9" s="47"/>
      <c r="G9" s="47"/>
      <c r="H9" s="47"/>
    </row>
    <row r="10" spans="3:8" ht="21">
      <c r="C10" s="48" t="s">
        <v>77</v>
      </c>
      <c r="D10" s="47"/>
      <c r="E10" s="47"/>
      <c r="F10" s="47"/>
      <c r="G10" s="47"/>
      <c r="H10" s="47"/>
    </row>
    <row r="11" s="48" customFormat="1" ht="34.5" customHeight="1">
      <c r="H11" s="61" t="s">
        <v>20</v>
      </c>
    </row>
    <row r="12" spans="3:8" s="50" customFormat="1" ht="40.5">
      <c r="C12" s="49" t="s">
        <v>13</v>
      </c>
      <c r="D12" s="49" t="s">
        <v>14</v>
      </c>
      <c r="E12" s="49" t="s">
        <v>172</v>
      </c>
      <c r="F12" s="49" t="s">
        <v>15</v>
      </c>
      <c r="G12" s="49" t="s">
        <v>16</v>
      </c>
      <c r="H12" s="49" t="s">
        <v>11</v>
      </c>
    </row>
    <row r="13" spans="3:8" s="48" customFormat="1" ht="21">
      <c r="C13" s="145" t="s">
        <v>17</v>
      </c>
      <c r="D13" s="146"/>
      <c r="E13" s="146"/>
      <c r="F13" s="146"/>
      <c r="G13" s="146"/>
      <c r="H13" s="147"/>
    </row>
    <row r="14" spans="3:8" s="48" customFormat="1" ht="21">
      <c r="C14" s="15">
        <v>1</v>
      </c>
      <c r="D14" s="15" t="s">
        <v>18</v>
      </c>
      <c r="E14" s="51">
        <v>12842.35</v>
      </c>
      <c r="F14" s="51">
        <f>65992.98-2572.9</f>
        <v>63420.079999999994</v>
      </c>
      <c r="G14" s="51">
        <v>47612.95</v>
      </c>
      <c r="H14" s="51">
        <f>E14+F14-G14</f>
        <v>28649.479999999996</v>
      </c>
    </row>
    <row r="15" spans="3:8" s="48" customFormat="1" ht="21">
      <c r="C15" s="15">
        <v>2</v>
      </c>
      <c r="D15" s="15" t="s">
        <v>19</v>
      </c>
      <c r="E15" s="51">
        <v>3648.41</v>
      </c>
      <c r="F15" s="51">
        <f>24866.32-729.88</f>
        <v>24136.44</v>
      </c>
      <c r="G15" s="51">
        <v>17461.43</v>
      </c>
      <c r="H15" s="51">
        <f>E15+F15-G15</f>
        <v>10323.419999999998</v>
      </c>
    </row>
    <row r="16" spans="3:8" s="48" customFormat="1" ht="42">
      <c r="C16" s="15">
        <v>3</v>
      </c>
      <c r="D16" s="82" t="s">
        <v>186</v>
      </c>
      <c r="E16" s="51"/>
      <c r="F16" s="51">
        <v>21025</v>
      </c>
      <c r="G16" s="51">
        <v>12981.27</v>
      </c>
      <c r="H16" s="51">
        <f>E16+F16-G16</f>
        <v>8043.73</v>
      </c>
    </row>
    <row r="17" spans="3:8" s="48" customFormat="1" ht="41.25">
      <c r="C17" s="15"/>
      <c r="D17" s="52" t="s">
        <v>0</v>
      </c>
      <c r="E17" s="53">
        <f>SUM(E14:E16)</f>
        <v>16490.760000000002</v>
      </c>
      <c r="F17" s="53">
        <f>SUM(F14:F16)</f>
        <v>108581.51999999999</v>
      </c>
      <c r="G17" s="53">
        <f>SUM(G14:G16)</f>
        <v>78055.65</v>
      </c>
      <c r="H17" s="53">
        <f>SUM(H14:H16)</f>
        <v>47016.62999999999</v>
      </c>
    </row>
    <row r="18" spans="3:8" s="48" customFormat="1" ht="21">
      <c r="C18" s="145" t="s">
        <v>21</v>
      </c>
      <c r="D18" s="146"/>
      <c r="E18" s="146"/>
      <c r="F18" s="146"/>
      <c r="G18" s="146"/>
      <c r="H18" s="147"/>
    </row>
    <row r="19" spans="3:8" s="48" customFormat="1" ht="21">
      <c r="C19" s="15">
        <v>4</v>
      </c>
      <c r="D19" s="15" t="s">
        <v>1</v>
      </c>
      <c r="E19" s="51">
        <v>55058.36</v>
      </c>
      <c r="F19" s="55">
        <f>285287.74-11100.93</f>
        <v>274186.81</v>
      </c>
      <c r="G19" s="55">
        <f>209940.98-2256.62</f>
        <v>207684.36000000002</v>
      </c>
      <c r="H19" s="55">
        <f>E19+F19-G19</f>
        <v>121560.80999999997</v>
      </c>
    </row>
    <row r="20" spans="3:8" s="48" customFormat="1" ht="21">
      <c r="C20" s="15">
        <v>5</v>
      </c>
      <c r="D20" s="56" t="s">
        <v>2</v>
      </c>
      <c r="E20" s="57">
        <v>9117.53</v>
      </c>
      <c r="F20" s="55">
        <f>47835.35-1889.17</f>
        <v>45946.18</v>
      </c>
      <c r="G20" s="55">
        <v>35550.91</v>
      </c>
      <c r="H20" s="55">
        <f>E20+F20-G20</f>
        <v>19512.799999999996</v>
      </c>
    </row>
    <row r="21" spans="3:8" s="48" customFormat="1" ht="21" hidden="1">
      <c r="C21" s="15">
        <v>5</v>
      </c>
      <c r="D21" s="56" t="s">
        <v>7</v>
      </c>
      <c r="E21" s="57"/>
      <c r="F21" s="55"/>
      <c r="G21" s="55"/>
      <c r="H21" s="55">
        <f>E21+F21-G21</f>
        <v>0</v>
      </c>
    </row>
    <row r="22" spans="3:8" s="48" customFormat="1" ht="21">
      <c r="C22" s="15">
        <v>6</v>
      </c>
      <c r="D22" s="56" t="s">
        <v>3</v>
      </c>
      <c r="E22" s="57">
        <v>5327.34</v>
      </c>
      <c r="F22" s="55">
        <f>28859.74-1168.59</f>
        <v>27691.15</v>
      </c>
      <c r="G22" s="55">
        <v>21115.77</v>
      </c>
      <c r="H22" s="55">
        <f>E22+F22-G22</f>
        <v>11902.720000000005</v>
      </c>
    </row>
    <row r="23" spans="3:8" s="48" customFormat="1" ht="41.25" hidden="1">
      <c r="C23" s="15">
        <v>7</v>
      </c>
      <c r="D23" s="56" t="s">
        <v>4</v>
      </c>
      <c r="E23" s="57"/>
      <c r="F23" s="55"/>
      <c r="G23" s="55"/>
      <c r="H23" s="55">
        <f>E23+F23-G23</f>
        <v>0</v>
      </c>
    </row>
    <row r="24" spans="3:8" s="48" customFormat="1" ht="41.25">
      <c r="C24" s="15"/>
      <c r="D24" s="52" t="s">
        <v>5</v>
      </c>
      <c r="E24" s="53">
        <f>SUM(E19:E23)</f>
        <v>69503.23</v>
      </c>
      <c r="F24" s="53">
        <f>SUM(F19:F23)</f>
        <v>347824.14</v>
      </c>
      <c r="G24" s="53">
        <f>SUM(G19:G23)</f>
        <v>264351.04000000004</v>
      </c>
      <c r="H24" s="53">
        <f>SUM(H19:H23)</f>
        <v>152976.32999999996</v>
      </c>
    </row>
    <row r="25" spans="3:9" s="48" customFormat="1" ht="41.25">
      <c r="C25" s="15"/>
      <c r="D25" s="52" t="s">
        <v>6</v>
      </c>
      <c r="E25" s="53">
        <f>E17+E24</f>
        <v>85993.98999999999</v>
      </c>
      <c r="F25" s="53">
        <f>F17+F24</f>
        <v>456405.66000000003</v>
      </c>
      <c r="G25" s="53">
        <f>G17+G24</f>
        <v>342406.69000000006</v>
      </c>
      <c r="H25" s="53">
        <f>H17+H24</f>
        <v>199992.95999999996</v>
      </c>
      <c r="I25" s="84"/>
    </row>
    <row r="26" spans="3:9" s="48" customFormat="1" ht="21">
      <c r="C26" s="58"/>
      <c r="D26" s="59"/>
      <c r="E26" s="59"/>
      <c r="F26" s="60"/>
      <c r="G26" s="60"/>
      <c r="H26" s="60"/>
      <c r="I26" s="94"/>
    </row>
    <row r="27" spans="3:8" s="48" customFormat="1" ht="21">
      <c r="C27" s="58"/>
      <c r="D27" s="59"/>
      <c r="E27" s="59"/>
      <c r="F27" s="60"/>
      <c r="G27" s="60"/>
      <c r="H27" s="60"/>
    </row>
    <row r="28" spans="7:8" s="48" customFormat="1" ht="21">
      <c r="G28" s="61"/>
      <c r="H28" s="61" t="s">
        <v>22</v>
      </c>
    </row>
    <row r="29" spans="3:8" s="48" customFormat="1" ht="25.5">
      <c r="C29" s="148" t="s">
        <v>259</v>
      </c>
      <c r="D29" s="149"/>
      <c r="E29" s="149"/>
      <c r="F29" s="149"/>
      <c r="G29" s="149"/>
      <c r="H29" s="150"/>
    </row>
    <row r="30" spans="3:8" s="48" customFormat="1" ht="42">
      <c r="C30" s="151" t="s">
        <v>260</v>
      </c>
      <c r="D30" s="152"/>
      <c r="E30" s="152"/>
      <c r="F30" s="153"/>
      <c r="G30" s="49" t="s">
        <v>23</v>
      </c>
      <c r="H30" s="62" t="s">
        <v>232</v>
      </c>
    </row>
    <row r="31" spans="3:8" s="48" customFormat="1" ht="184.5" customHeight="1">
      <c r="C31" s="178" t="s">
        <v>265</v>
      </c>
      <c r="D31" s="179"/>
      <c r="E31" s="179"/>
      <c r="F31" s="180"/>
      <c r="G31" s="65">
        <f>F14</f>
        <v>63420.079999999994</v>
      </c>
      <c r="H31" s="65">
        <f>H14</f>
        <v>28649.479999999996</v>
      </c>
    </row>
    <row r="32" spans="3:8" s="48" customFormat="1" ht="25.5">
      <c r="C32" s="148" t="s">
        <v>258</v>
      </c>
      <c r="D32" s="149"/>
      <c r="E32" s="149"/>
      <c r="F32" s="149"/>
      <c r="G32" s="149"/>
      <c r="H32" s="150"/>
    </row>
    <row r="33" spans="3:8" s="48" customFormat="1" ht="82.5" customHeight="1">
      <c r="C33" s="181" t="s">
        <v>261</v>
      </c>
      <c r="D33" s="182"/>
      <c r="E33" s="164" t="s">
        <v>260</v>
      </c>
      <c r="F33" s="165"/>
      <c r="G33" s="166"/>
      <c r="H33" s="111" t="s">
        <v>262</v>
      </c>
    </row>
    <row r="34" spans="3:8" s="48" customFormat="1" ht="21">
      <c r="C34" s="122"/>
      <c r="D34" s="123">
        <v>3880.09</v>
      </c>
      <c r="E34" s="168" t="s">
        <v>139</v>
      </c>
      <c r="F34" s="144"/>
      <c r="G34" s="57">
        <v>80</v>
      </c>
      <c r="H34" s="51"/>
    </row>
    <row r="35" spans="3:8" s="48" customFormat="1" ht="21">
      <c r="C35" s="118"/>
      <c r="D35" s="124"/>
      <c r="E35" s="168" t="s">
        <v>140</v>
      </c>
      <c r="F35" s="144"/>
      <c r="G35" s="57">
        <v>75</v>
      </c>
      <c r="H35" s="51"/>
    </row>
    <row r="36" spans="3:8" s="48" customFormat="1" ht="21">
      <c r="C36" s="118"/>
      <c r="D36" s="124"/>
      <c r="E36" s="168" t="s">
        <v>141</v>
      </c>
      <c r="F36" s="144"/>
      <c r="G36" s="57">
        <v>296</v>
      </c>
      <c r="H36" s="51"/>
    </row>
    <row r="37" spans="3:8" s="48" customFormat="1" ht="21">
      <c r="C37" s="118"/>
      <c r="D37" s="124"/>
      <c r="E37" s="168" t="s">
        <v>114</v>
      </c>
      <c r="F37" s="144"/>
      <c r="G37" s="57">
        <v>754.38</v>
      </c>
      <c r="H37" s="51"/>
    </row>
    <row r="38" spans="3:8" s="48" customFormat="1" ht="21">
      <c r="C38" s="118"/>
      <c r="D38" s="124"/>
      <c r="E38" s="168" t="s">
        <v>142</v>
      </c>
      <c r="F38" s="144"/>
      <c r="G38" s="57">
        <v>2870.68</v>
      </c>
      <c r="H38" s="51"/>
    </row>
    <row r="39" spans="3:8" s="48" customFormat="1" ht="21">
      <c r="C39" s="118"/>
      <c r="D39" s="124"/>
      <c r="E39" s="168" t="s">
        <v>93</v>
      </c>
      <c r="F39" s="144"/>
      <c r="G39" s="57">
        <v>127.54</v>
      </c>
      <c r="H39" s="51"/>
    </row>
    <row r="40" spans="3:8" s="48" customFormat="1" ht="21">
      <c r="C40" s="118"/>
      <c r="D40" s="124"/>
      <c r="E40" s="168" t="s">
        <v>143</v>
      </c>
      <c r="F40" s="144"/>
      <c r="G40" s="57">
        <v>1257.33</v>
      </c>
      <c r="H40" s="51"/>
    </row>
    <row r="41" spans="3:8" s="48" customFormat="1" ht="21">
      <c r="C41" s="118"/>
      <c r="D41" s="124"/>
      <c r="E41" s="168" t="s">
        <v>144</v>
      </c>
      <c r="F41" s="144"/>
      <c r="G41" s="57">
        <v>1000</v>
      </c>
      <c r="H41" s="51"/>
    </row>
    <row r="42" spans="3:8" s="48" customFormat="1" ht="21">
      <c r="C42" s="118"/>
      <c r="D42" s="124"/>
      <c r="E42" s="168" t="s">
        <v>33</v>
      </c>
      <c r="F42" s="144"/>
      <c r="G42" s="57">
        <v>114</v>
      </c>
      <c r="H42" s="51"/>
    </row>
    <row r="43" spans="3:8" s="48" customFormat="1" ht="21">
      <c r="C43" s="118"/>
      <c r="D43" s="125"/>
      <c r="E43" s="170" t="s">
        <v>229</v>
      </c>
      <c r="F43" s="177"/>
      <c r="G43" s="83">
        <f>SUM(G34:G42)</f>
        <v>6574.93</v>
      </c>
      <c r="H43" s="91">
        <f>G15-G43</f>
        <v>10886.5</v>
      </c>
    </row>
    <row r="44" spans="3:8" s="48" customFormat="1" ht="21">
      <c r="C44" s="72"/>
      <c r="D44" s="114"/>
      <c r="E44" s="170" t="s">
        <v>230</v>
      </c>
      <c r="F44" s="177"/>
      <c r="G44" s="83"/>
      <c r="H44" s="91">
        <f>H43+D34</f>
        <v>14766.59</v>
      </c>
    </row>
    <row r="45" spans="3:8" s="48" customFormat="1" ht="41.25">
      <c r="C45" s="116">
        <v>3</v>
      </c>
      <c r="D45" s="115" t="s">
        <v>24</v>
      </c>
      <c r="E45" s="52"/>
      <c r="F45" s="92" t="s">
        <v>221</v>
      </c>
      <c r="G45" s="66"/>
      <c r="H45" s="15"/>
    </row>
    <row r="46" spans="3:8" s="48" customFormat="1" ht="21">
      <c r="C46" s="159"/>
      <c r="D46" s="157"/>
      <c r="E46" s="69"/>
      <c r="F46" s="86"/>
      <c r="G46" s="66"/>
      <c r="H46" s="15"/>
    </row>
    <row r="47" spans="3:8" s="48" customFormat="1" ht="21">
      <c r="C47" s="161"/>
      <c r="D47" s="161"/>
      <c r="E47" s="71"/>
      <c r="F47" s="86"/>
      <c r="G47" s="66"/>
      <c r="H47" s="15"/>
    </row>
    <row r="48" spans="3:8" s="48" customFormat="1" ht="21">
      <c r="C48" s="96"/>
      <c r="D48" s="96"/>
      <c r="E48" s="96"/>
      <c r="F48" s="97"/>
      <c r="G48" s="93"/>
      <c r="H48" s="58"/>
    </row>
    <row r="49" spans="3:9" s="81" customFormat="1" ht="21">
      <c r="C49" s="96"/>
      <c r="D49" s="96"/>
      <c r="E49" s="96"/>
      <c r="F49" s="97"/>
      <c r="G49" s="93"/>
      <c r="H49" s="58"/>
      <c r="I49" s="61" t="s">
        <v>52</v>
      </c>
    </row>
    <row r="50" spans="3:9" s="79" customFormat="1" ht="63">
      <c r="C50" s="49"/>
      <c r="D50" s="49" t="s">
        <v>55</v>
      </c>
      <c r="E50" s="49" t="s">
        <v>53</v>
      </c>
      <c r="F50" s="49" t="s">
        <v>189</v>
      </c>
      <c r="G50" s="49" t="s">
        <v>190</v>
      </c>
      <c r="H50" s="49" t="s">
        <v>185</v>
      </c>
      <c r="I50" s="78" t="s">
        <v>54</v>
      </c>
    </row>
    <row r="51" spans="3:9" s="89" customFormat="1" ht="21">
      <c r="C51" s="51"/>
      <c r="D51" s="51" t="s">
        <v>197</v>
      </c>
      <c r="E51" s="51">
        <v>57900</v>
      </c>
      <c r="F51" s="51">
        <v>57900</v>
      </c>
      <c r="G51" s="51">
        <v>36007.36</v>
      </c>
      <c r="H51" s="80">
        <f>F51-G51</f>
        <v>21892.64</v>
      </c>
      <c r="I51" s="51">
        <f>E51-F51</f>
        <v>0</v>
      </c>
    </row>
    <row r="52" spans="3:9" s="89" customFormat="1" ht="21">
      <c r="C52" s="51"/>
      <c r="D52" s="51" t="s">
        <v>198</v>
      </c>
      <c r="E52" s="51">
        <v>69146</v>
      </c>
      <c r="F52" s="51">
        <v>57804.28</v>
      </c>
      <c r="G52" s="80">
        <v>33570.57</v>
      </c>
      <c r="H52" s="80">
        <f>F52-G52</f>
        <v>24233.71</v>
      </c>
      <c r="I52" s="51">
        <f>E52-F52</f>
        <v>11341.720000000001</v>
      </c>
    </row>
    <row r="54" spans="4:5" ht="26.25">
      <c r="D54" s="43"/>
      <c r="E54" s="43"/>
    </row>
    <row r="55" spans="4:5" ht="26.25">
      <c r="D55" s="43"/>
      <c r="E55" s="43"/>
    </row>
  </sheetData>
  <sheetProtection/>
  <mergeCells count="21">
    <mergeCell ref="C46:C47"/>
    <mergeCell ref="D46:D47"/>
    <mergeCell ref="E36:F36"/>
    <mergeCell ref="E35:F35"/>
    <mergeCell ref="E44:F44"/>
    <mergeCell ref="E40:F40"/>
    <mergeCell ref="E41:F41"/>
    <mergeCell ref="E42:F42"/>
    <mergeCell ref="E43:F43"/>
    <mergeCell ref="C13:H13"/>
    <mergeCell ref="C18:H18"/>
    <mergeCell ref="C29:H29"/>
    <mergeCell ref="C30:F30"/>
    <mergeCell ref="C31:F31"/>
    <mergeCell ref="C32:H32"/>
    <mergeCell ref="E34:F34"/>
    <mergeCell ref="E37:F37"/>
    <mergeCell ref="E38:F38"/>
    <mergeCell ref="E39:F39"/>
    <mergeCell ref="C33:D33"/>
    <mergeCell ref="E33:G33"/>
  </mergeCells>
  <printOptions/>
  <pageMargins left="0.25" right="0.25" top="0.75" bottom="0.75" header="0.3" footer="0.3"/>
  <pageSetup horizontalDpi="600" verticalDpi="600" orientation="landscape" paperSize="9" scale="53" r:id="rId2"/>
  <rowBreaks count="1" manualBreakCount="1">
    <brk id="31" min="2" max="9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1:H50"/>
  <sheetViews>
    <sheetView view="pageBreakPreview" zoomScale="73" zoomScaleSheetLayoutView="73" zoomScalePageLayoutView="0" workbookViewId="0" topLeftCell="A35">
      <selection activeCell="D49" sqref="D49:F50"/>
    </sheetView>
  </sheetViews>
  <sheetFormatPr defaultColWidth="9.140625" defaultRowHeight="15"/>
  <cols>
    <col min="3" max="3" width="9.00390625" style="0" customWidth="1"/>
    <col min="4" max="5" width="37.8515625" style="0" customWidth="1"/>
    <col min="6" max="6" width="48.57421875" style="0" customWidth="1"/>
    <col min="7" max="7" width="34.140625" style="0" customWidth="1"/>
    <col min="8" max="8" width="30.140625" style="0" customWidth="1"/>
  </cols>
  <sheetData>
    <row r="1" spans="4:7" s="1" customFormat="1" ht="28.5">
      <c r="D1" s="21" t="s">
        <v>26</v>
      </c>
      <c r="E1" s="21"/>
      <c r="F1" s="21"/>
      <c r="G1" s="21"/>
    </row>
    <row r="2" spans="4:7" s="1" customFormat="1" ht="28.5">
      <c r="D2" s="21" t="s">
        <v>27</v>
      </c>
      <c r="E2" s="21"/>
      <c r="F2" s="21"/>
      <c r="G2" s="21"/>
    </row>
    <row r="3" spans="4:8" ht="18.75">
      <c r="D3" s="2" t="s">
        <v>28</v>
      </c>
      <c r="E3" s="2"/>
      <c r="F3" s="2"/>
      <c r="G3" s="2"/>
      <c r="H3" s="7"/>
    </row>
    <row r="4" spans="4:8" ht="18.75">
      <c r="D4" s="2" t="s">
        <v>29</v>
      </c>
      <c r="E4" s="2"/>
      <c r="F4" s="2"/>
      <c r="G4" s="2"/>
      <c r="H4" s="7"/>
    </row>
    <row r="5" spans="4:8" ht="15">
      <c r="D5" s="7"/>
      <c r="E5" s="7"/>
      <c r="F5" s="7"/>
      <c r="G5" s="7"/>
      <c r="H5" s="7"/>
    </row>
    <row r="6" spans="4:7" s="3" customFormat="1" ht="26.25">
      <c r="D6" s="1" t="s">
        <v>30</v>
      </c>
      <c r="E6" s="1"/>
      <c r="F6" s="1"/>
      <c r="G6" s="1"/>
    </row>
    <row r="7" spans="4:7" s="3" customFormat="1" ht="26.25">
      <c r="D7" s="1" t="s">
        <v>78</v>
      </c>
      <c r="E7" s="1"/>
      <c r="F7" s="1"/>
      <c r="G7" s="1"/>
    </row>
    <row r="8" spans="4:7" s="3" customFormat="1" ht="26.25">
      <c r="D8" s="1" t="s">
        <v>90</v>
      </c>
      <c r="E8" s="1"/>
      <c r="F8" s="1"/>
      <c r="G8" s="1"/>
    </row>
    <row r="9" spans="4:8" ht="15">
      <c r="D9" s="7"/>
      <c r="E9" s="7"/>
      <c r="F9" s="7"/>
      <c r="G9" s="7"/>
      <c r="H9" s="7"/>
    </row>
    <row r="10" spans="3:8" ht="21">
      <c r="C10" s="3" t="s">
        <v>79</v>
      </c>
      <c r="D10" s="7"/>
      <c r="E10" s="7"/>
      <c r="F10" s="7"/>
      <c r="G10" s="7"/>
      <c r="H10" s="7"/>
    </row>
    <row r="11" s="3" customFormat="1" ht="34.5" customHeight="1">
      <c r="H11" s="8" t="s">
        <v>20</v>
      </c>
    </row>
    <row r="12" spans="3:8" s="10" customFormat="1" ht="40.5">
      <c r="C12" s="9" t="s">
        <v>13</v>
      </c>
      <c r="D12" s="9" t="s">
        <v>14</v>
      </c>
      <c r="E12" s="9" t="s">
        <v>172</v>
      </c>
      <c r="F12" s="9" t="s">
        <v>15</v>
      </c>
      <c r="G12" s="9" t="s">
        <v>16</v>
      </c>
      <c r="H12" s="9" t="s">
        <v>11</v>
      </c>
    </row>
    <row r="13" spans="3:8" s="3" customFormat="1" ht="21">
      <c r="C13" s="198" t="s">
        <v>17</v>
      </c>
      <c r="D13" s="199"/>
      <c r="E13" s="199"/>
      <c r="F13" s="199"/>
      <c r="G13" s="199"/>
      <c r="H13" s="200"/>
    </row>
    <row r="14" spans="3:8" s="3" customFormat="1" ht="21">
      <c r="C14" s="11">
        <v>1</v>
      </c>
      <c r="D14" s="11" t="s">
        <v>18</v>
      </c>
      <c r="E14" s="31">
        <v>9060.09</v>
      </c>
      <c r="F14" s="31">
        <v>75707.76</v>
      </c>
      <c r="G14" s="31">
        <v>71665.42</v>
      </c>
      <c r="H14" s="31">
        <f>E14+F14-G14</f>
        <v>13102.429999999993</v>
      </c>
    </row>
    <row r="15" spans="3:8" s="3" customFormat="1" ht="21">
      <c r="C15" s="11">
        <v>2</v>
      </c>
      <c r="D15" s="11" t="s">
        <v>19</v>
      </c>
      <c r="E15" s="31">
        <v>2615.53</v>
      </c>
      <c r="F15" s="31">
        <f>21855.72-83.75</f>
        <v>21771.97</v>
      </c>
      <c r="G15" s="31">
        <v>20688.77</v>
      </c>
      <c r="H15" s="31">
        <f>E15+F15-G15</f>
        <v>3698.7299999999996</v>
      </c>
    </row>
    <row r="16" spans="3:8" s="3" customFormat="1" ht="41.25">
      <c r="C16" s="11"/>
      <c r="D16" s="4" t="s">
        <v>0</v>
      </c>
      <c r="E16" s="32">
        <f>SUM(E14:E15)</f>
        <v>11675.62</v>
      </c>
      <c r="F16" s="32">
        <f>SUM(F14:F15)</f>
        <v>97479.73</v>
      </c>
      <c r="G16" s="32">
        <f>SUM(G14:G15)</f>
        <v>92354.19</v>
      </c>
      <c r="H16" s="32">
        <f>SUM(H14:H15)</f>
        <v>16801.159999999993</v>
      </c>
    </row>
    <row r="17" spans="3:8" s="3" customFormat="1" ht="21">
      <c r="C17" s="198" t="s">
        <v>21</v>
      </c>
      <c r="D17" s="199"/>
      <c r="E17" s="199"/>
      <c r="F17" s="199"/>
      <c r="G17" s="199"/>
      <c r="H17" s="200"/>
    </row>
    <row r="18" spans="3:8" s="3" customFormat="1" ht="21">
      <c r="C18" s="11">
        <v>3</v>
      </c>
      <c r="D18" s="11" t="s">
        <v>1</v>
      </c>
      <c r="E18" s="31">
        <v>37499.73</v>
      </c>
      <c r="F18" s="34">
        <f>304917.02-1470.9</f>
        <v>303446.12</v>
      </c>
      <c r="G18" s="34">
        <v>293372.73</v>
      </c>
      <c r="H18" s="34">
        <f>E18+F18-G18</f>
        <v>47573.119999999995</v>
      </c>
    </row>
    <row r="19" spans="3:8" s="3" customFormat="1" ht="21">
      <c r="C19" s="11">
        <v>4</v>
      </c>
      <c r="D19" s="14" t="s">
        <v>2</v>
      </c>
      <c r="E19" s="35">
        <v>5520.88</v>
      </c>
      <c r="F19" s="34">
        <f>42463.7-61.22</f>
        <v>42402.479999999996</v>
      </c>
      <c r="G19" s="34">
        <v>40922.95</v>
      </c>
      <c r="H19" s="34">
        <f>E19+F19-G19</f>
        <v>7000.409999999996</v>
      </c>
    </row>
    <row r="20" spans="3:8" s="3" customFormat="1" ht="21" hidden="1">
      <c r="C20" s="15">
        <v>5</v>
      </c>
      <c r="D20" s="14" t="s">
        <v>7</v>
      </c>
      <c r="E20" s="35"/>
      <c r="F20" s="34"/>
      <c r="G20" s="34"/>
      <c r="H20" s="34">
        <f>E20+F20-G20</f>
        <v>0</v>
      </c>
    </row>
    <row r="21" spans="3:8" s="3" customFormat="1" ht="21">
      <c r="C21" s="15">
        <v>5</v>
      </c>
      <c r="D21" s="14" t="s">
        <v>3</v>
      </c>
      <c r="E21" s="35">
        <v>3193.08</v>
      </c>
      <c r="F21" s="34">
        <f>34656.38-2525.37</f>
        <v>32131.01</v>
      </c>
      <c r="G21" s="34">
        <v>30952.63</v>
      </c>
      <c r="H21" s="34">
        <f>E21+F21-G21</f>
        <v>4371.4599999999955</v>
      </c>
    </row>
    <row r="22" spans="3:8" s="3" customFormat="1" ht="41.25" hidden="1">
      <c r="C22" s="15">
        <v>7</v>
      </c>
      <c r="D22" s="14" t="s">
        <v>4</v>
      </c>
      <c r="E22" s="35"/>
      <c r="F22" s="34"/>
      <c r="G22" s="34"/>
      <c r="H22" s="34">
        <f>F22-G22</f>
        <v>0</v>
      </c>
    </row>
    <row r="23" spans="3:8" s="3" customFormat="1" ht="41.25">
      <c r="C23" s="11"/>
      <c r="D23" s="4" t="s">
        <v>5</v>
      </c>
      <c r="E23" s="32">
        <f>SUM(E18:E22)</f>
        <v>46213.69</v>
      </c>
      <c r="F23" s="32">
        <f>SUM(F18:F22)</f>
        <v>377979.61</v>
      </c>
      <c r="G23" s="32">
        <f>SUM(G18:G22)</f>
        <v>365248.31</v>
      </c>
      <c r="H23" s="32">
        <f>SUM(H18:H22)</f>
        <v>58944.98999999999</v>
      </c>
    </row>
    <row r="24" spans="3:8" s="3" customFormat="1" ht="41.25">
      <c r="C24" s="11"/>
      <c r="D24" s="4" t="s">
        <v>6</v>
      </c>
      <c r="E24" s="32">
        <f>E16+E23</f>
        <v>57889.310000000005</v>
      </c>
      <c r="F24" s="32">
        <f>F16+F23</f>
        <v>475459.33999999997</v>
      </c>
      <c r="G24" s="32">
        <f>G16+G23</f>
        <v>457602.5</v>
      </c>
      <c r="H24" s="32">
        <f>H16+H23</f>
        <v>75746.14999999998</v>
      </c>
    </row>
    <row r="25" spans="3:8" s="3" customFormat="1" ht="21">
      <c r="C25" s="16"/>
      <c r="D25" s="17"/>
      <c r="E25" s="17"/>
      <c r="F25" s="18"/>
      <c r="G25" s="18"/>
      <c r="H25" s="18"/>
    </row>
    <row r="26" spans="3:8" s="3" customFormat="1" ht="21">
      <c r="C26" s="16"/>
      <c r="D26" s="17"/>
      <c r="E26" s="17"/>
      <c r="F26" s="18"/>
      <c r="G26" s="18"/>
      <c r="H26" s="18"/>
    </row>
    <row r="27" spans="7:8" s="3" customFormat="1" ht="21">
      <c r="G27" s="8"/>
      <c r="H27" s="8" t="s">
        <v>22</v>
      </c>
    </row>
    <row r="28" spans="3:8" s="3" customFormat="1" ht="25.5">
      <c r="C28" s="148" t="s">
        <v>259</v>
      </c>
      <c r="D28" s="149"/>
      <c r="E28" s="149"/>
      <c r="F28" s="149"/>
      <c r="G28" s="149"/>
      <c r="H28" s="150"/>
    </row>
    <row r="29" spans="3:8" s="3" customFormat="1" ht="63">
      <c r="C29" s="151" t="s">
        <v>260</v>
      </c>
      <c r="D29" s="152"/>
      <c r="E29" s="152"/>
      <c r="F29" s="153"/>
      <c r="G29" s="49" t="s">
        <v>23</v>
      </c>
      <c r="H29" s="62" t="s">
        <v>232</v>
      </c>
    </row>
    <row r="30" spans="3:8" s="3" customFormat="1" ht="188.25" customHeight="1">
      <c r="C30" s="178" t="s">
        <v>265</v>
      </c>
      <c r="D30" s="179"/>
      <c r="E30" s="179"/>
      <c r="F30" s="180"/>
      <c r="G30" s="65">
        <f>F14</f>
        <v>75707.76</v>
      </c>
      <c r="H30" s="65">
        <f>H14</f>
        <v>13102.429999999993</v>
      </c>
    </row>
    <row r="31" spans="3:8" s="3" customFormat="1" ht="25.5">
      <c r="C31" s="148" t="s">
        <v>258</v>
      </c>
      <c r="D31" s="149"/>
      <c r="E31" s="149"/>
      <c r="F31" s="149"/>
      <c r="G31" s="149"/>
      <c r="H31" s="150"/>
    </row>
    <row r="32" spans="3:8" s="3" customFormat="1" ht="63">
      <c r="C32" s="181" t="s">
        <v>261</v>
      </c>
      <c r="D32" s="182"/>
      <c r="E32" s="164" t="s">
        <v>260</v>
      </c>
      <c r="F32" s="165"/>
      <c r="G32" s="166"/>
      <c r="H32" s="111" t="s">
        <v>262</v>
      </c>
    </row>
    <row r="33" spans="3:8" s="3" customFormat="1" ht="21">
      <c r="C33" s="136"/>
      <c r="D33" s="127">
        <v>5281.37</v>
      </c>
      <c r="E33" s="224" t="s">
        <v>145</v>
      </c>
      <c r="F33" s="224"/>
      <c r="G33" s="35">
        <v>1511</v>
      </c>
      <c r="H33" s="31"/>
    </row>
    <row r="34" spans="3:8" s="3" customFormat="1" ht="21">
      <c r="C34" s="129"/>
      <c r="D34" s="128"/>
      <c r="E34" s="224" t="s">
        <v>132</v>
      </c>
      <c r="F34" s="224"/>
      <c r="G34" s="35">
        <v>2121.19</v>
      </c>
      <c r="H34" s="31"/>
    </row>
    <row r="35" spans="3:8" s="3" customFormat="1" ht="21">
      <c r="C35" s="129"/>
      <c r="D35" s="128"/>
      <c r="E35" s="224" t="s">
        <v>146</v>
      </c>
      <c r="F35" s="224"/>
      <c r="G35" s="35">
        <v>5712.02</v>
      </c>
      <c r="H35" s="31"/>
    </row>
    <row r="36" spans="3:8" s="3" customFormat="1" ht="21">
      <c r="C36" s="129"/>
      <c r="D36" s="128"/>
      <c r="E36" s="224" t="s">
        <v>93</v>
      </c>
      <c r="F36" s="224"/>
      <c r="G36" s="35">
        <v>149.24</v>
      </c>
      <c r="H36" s="31"/>
    </row>
    <row r="37" spans="3:8" s="3" customFormat="1" ht="21">
      <c r="C37" s="129"/>
      <c r="D37" s="128"/>
      <c r="E37" s="224" t="s">
        <v>147</v>
      </c>
      <c r="F37" s="224"/>
      <c r="G37" s="35">
        <v>240</v>
      </c>
      <c r="H37" s="31"/>
    </row>
    <row r="38" spans="3:8" s="3" customFormat="1" ht="21">
      <c r="C38" s="129"/>
      <c r="D38" s="128"/>
      <c r="E38" s="224" t="s">
        <v>10</v>
      </c>
      <c r="F38" s="224"/>
      <c r="G38" s="35">
        <v>50500</v>
      </c>
      <c r="H38" s="31"/>
    </row>
    <row r="39" spans="3:8" s="3" customFormat="1" ht="21">
      <c r="C39" s="129"/>
      <c r="D39" s="129"/>
      <c r="E39" s="192" t="s">
        <v>229</v>
      </c>
      <c r="F39" s="193"/>
      <c r="G39" s="36">
        <f>SUM(G33:G38)</f>
        <v>60233.45</v>
      </c>
      <c r="H39" s="37">
        <f>G15-G39</f>
        <v>-39544.67999999999</v>
      </c>
    </row>
    <row r="40" spans="3:8" s="3" customFormat="1" ht="21">
      <c r="C40" s="130"/>
      <c r="D40" s="130"/>
      <c r="E40" s="192" t="s">
        <v>230</v>
      </c>
      <c r="F40" s="193"/>
      <c r="G40" s="36"/>
      <c r="H40" s="37">
        <f>D33+H39</f>
        <v>-34263.30999999999</v>
      </c>
    </row>
    <row r="41" spans="3:8" s="3" customFormat="1" ht="21">
      <c r="C41" s="135">
        <v>3</v>
      </c>
      <c r="D41" s="126" t="s">
        <v>24</v>
      </c>
      <c r="E41" s="4"/>
      <c r="F41" s="22" t="s">
        <v>191</v>
      </c>
      <c r="G41" s="19"/>
      <c r="H41" s="11"/>
    </row>
    <row r="42" spans="3:8" s="3" customFormat="1" ht="21">
      <c r="C42" s="201"/>
      <c r="D42" s="204"/>
      <c r="E42" s="26"/>
      <c r="F42" s="24" t="s">
        <v>192</v>
      </c>
      <c r="G42" s="19"/>
      <c r="H42" s="11"/>
    </row>
    <row r="43" spans="3:8" s="3" customFormat="1" ht="21">
      <c r="C43" s="202"/>
      <c r="D43" s="202"/>
      <c r="E43" s="27"/>
      <c r="F43" s="24" t="s">
        <v>222</v>
      </c>
      <c r="G43" s="19"/>
      <c r="H43" s="11"/>
    </row>
    <row r="44" spans="3:8" s="3" customFormat="1" ht="21">
      <c r="C44" s="202"/>
      <c r="D44" s="202"/>
      <c r="E44" s="27"/>
      <c r="F44" s="25"/>
      <c r="G44" s="19"/>
      <c r="H44" s="11"/>
    </row>
    <row r="45" spans="3:8" s="3" customFormat="1" ht="21">
      <c r="C45" s="202"/>
      <c r="D45" s="202"/>
      <c r="E45" s="27"/>
      <c r="F45" s="24"/>
      <c r="G45" s="19"/>
      <c r="H45" s="11"/>
    </row>
    <row r="46" spans="3:8" s="3" customFormat="1" ht="21">
      <c r="C46" s="203"/>
      <c r="D46" s="203"/>
      <c r="E46" s="28"/>
      <c r="F46" s="24"/>
      <c r="G46" s="19"/>
      <c r="H46" s="11"/>
    </row>
    <row r="47" spans="3:8" s="3" customFormat="1" ht="21">
      <c r="C47" s="23"/>
      <c r="D47" s="23"/>
      <c r="E47" s="23"/>
      <c r="F47" s="24"/>
      <c r="G47" s="19"/>
      <c r="H47" s="11"/>
    </row>
    <row r="48" s="6" customFormat="1" ht="21">
      <c r="C48" s="3"/>
    </row>
    <row r="49" spans="4:6" s="5" customFormat="1" ht="26.25">
      <c r="D49" s="1"/>
      <c r="E49" s="1"/>
      <c r="F49"/>
    </row>
    <row r="50" spans="4:5" ht="26.25">
      <c r="D50" s="1"/>
      <c r="E50" s="1"/>
    </row>
  </sheetData>
  <sheetProtection/>
  <mergeCells count="18">
    <mergeCell ref="C13:H13"/>
    <mergeCell ref="C17:H17"/>
    <mergeCell ref="C42:C46"/>
    <mergeCell ref="D42:D46"/>
    <mergeCell ref="E34:F34"/>
    <mergeCell ref="E35:F35"/>
    <mergeCell ref="C28:H28"/>
    <mergeCell ref="C29:F29"/>
    <mergeCell ref="C30:F30"/>
    <mergeCell ref="C31:H31"/>
    <mergeCell ref="E39:F39"/>
    <mergeCell ref="E40:F40"/>
    <mergeCell ref="C32:D32"/>
    <mergeCell ref="E32:G32"/>
    <mergeCell ref="E33:F33"/>
    <mergeCell ref="E36:F36"/>
    <mergeCell ref="E37:F37"/>
    <mergeCell ref="E38:F38"/>
  </mergeCells>
  <printOptions/>
  <pageMargins left="0.25" right="0.25" top="0.75" bottom="0.75" header="0.3" footer="0.3"/>
  <pageSetup horizontalDpi="600" verticalDpi="600" orientation="landscape" paperSize="9" scale="61" r:id="rId2"/>
  <rowBreaks count="1" manualBreakCount="1">
    <brk id="26" min="2" max="7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1:I52"/>
  <sheetViews>
    <sheetView view="pageBreakPreview" zoomScale="73" zoomScaleSheetLayoutView="73" zoomScalePageLayoutView="0" workbookViewId="0" topLeftCell="C42">
      <selection activeCell="D51" sqref="D51:F52"/>
    </sheetView>
  </sheetViews>
  <sheetFormatPr defaultColWidth="9.140625" defaultRowHeight="15"/>
  <cols>
    <col min="3" max="3" width="9.00390625" style="0" customWidth="1"/>
    <col min="4" max="5" width="40.421875" style="0" customWidth="1"/>
    <col min="6" max="6" width="48.57421875" style="0" customWidth="1"/>
    <col min="7" max="7" width="34.140625" style="0" customWidth="1"/>
    <col min="8" max="8" width="30.00390625" style="0" customWidth="1"/>
    <col min="9" max="9" width="18.7109375" style="0" bestFit="1" customWidth="1"/>
  </cols>
  <sheetData>
    <row r="1" spans="4:7" s="1" customFormat="1" ht="28.5">
      <c r="D1" s="21" t="s">
        <v>26</v>
      </c>
      <c r="E1" s="21"/>
      <c r="F1" s="21"/>
      <c r="G1" s="21"/>
    </row>
    <row r="2" spans="4:7" s="1" customFormat="1" ht="28.5">
      <c r="D2" s="21" t="s">
        <v>27</v>
      </c>
      <c r="E2" s="21"/>
      <c r="F2" s="21"/>
      <c r="G2" s="21"/>
    </row>
    <row r="3" spans="4:8" ht="18.75">
      <c r="D3" s="2" t="s">
        <v>28</v>
      </c>
      <c r="E3" s="2"/>
      <c r="F3" s="2"/>
      <c r="G3" s="2"/>
      <c r="H3" s="7"/>
    </row>
    <row r="4" spans="4:8" ht="18.75">
      <c r="D4" s="2" t="s">
        <v>29</v>
      </c>
      <c r="E4" s="2"/>
      <c r="F4" s="2"/>
      <c r="G4" s="2"/>
      <c r="H4" s="7"/>
    </row>
    <row r="5" spans="4:8" ht="15">
      <c r="D5" s="7"/>
      <c r="E5" s="7"/>
      <c r="F5" s="7"/>
      <c r="G5" s="7"/>
      <c r="H5" s="7"/>
    </row>
    <row r="6" spans="4:7" s="3" customFormat="1" ht="26.25">
      <c r="D6" s="1" t="s">
        <v>30</v>
      </c>
      <c r="E6" s="1"/>
      <c r="F6" s="1"/>
      <c r="G6" s="1"/>
    </row>
    <row r="7" spans="4:7" s="3" customFormat="1" ht="26.25">
      <c r="D7" s="1" t="s">
        <v>80</v>
      </c>
      <c r="E7" s="1"/>
      <c r="F7" s="1"/>
      <c r="G7" s="1"/>
    </row>
    <row r="8" spans="4:7" s="3" customFormat="1" ht="26.25">
      <c r="D8" s="1" t="s">
        <v>90</v>
      </c>
      <c r="E8" s="1"/>
      <c r="F8" s="1"/>
      <c r="G8" s="1"/>
    </row>
    <row r="9" spans="4:8" ht="15">
      <c r="D9" s="7"/>
      <c r="E9" s="7"/>
      <c r="F9" s="7"/>
      <c r="G9" s="7"/>
      <c r="H9" s="7"/>
    </row>
    <row r="10" spans="3:8" ht="21">
      <c r="C10" s="3" t="s">
        <v>81</v>
      </c>
      <c r="D10" s="7"/>
      <c r="E10" s="7"/>
      <c r="F10" s="7"/>
      <c r="G10" s="7"/>
      <c r="H10" s="7"/>
    </row>
    <row r="11" s="3" customFormat="1" ht="34.5" customHeight="1">
      <c r="H11" s="8" t="s">
        <v>20</v>
      </c>
    </row>
    <row r="12" spans="3:8" s="10" customFormat="1" ht="40.5">
      <c r="C12" s="9" t="s">
        <v>13</v>
      </c>
      <c r="D12" s="9" t="s">
        <v>14</v>
      </c>
      <c r="E12" s="9" t="s">
        <v>172</v>
      </c>
      <c r="F12" s="9" t="s">
        <v>15</v>
      </c>
      <c r="G12" s="9" t="s">
        <v>16</v>
      </c>
      <c r="H12" s="9" t="s">
        <v>11</v>
      </c>
    </row>
    <row r="13" spans="3:8" s="3" customFormat="1" ht="21">
      <c r="C13" s="198" t="s">
        <v>17</v>
      </c>
      <c r="D13" s="199"/>
      <c r="E13" s="199"/>
      <c r="F13" s="199"/>
      <c r="G13" s="199"/>
      <c r="H13" s="200"/>
    </row>
    <row r="14" spans="3:8" s="3" customFormat="1" ht="21">
      <c r="C14" s="11">
        <v>1</v>
      </c>
      <c r="D14" s="11" t="s">
        <v>18</v>
      </c>
      <c r="E14" s="31">
        <v>29735.39</v>
      </c>
      <c r="F14" s="31">
        <f>184597.59-2664.05</f>
        <v>181933.54</v>
      </c>
      <c r="G14" s="31">
        <v>175111.83</v>
      </c>
      <c r="H14" s="31">
        <f>E14+F14-G14</f>
        <v>36557.100000000006</v>
      </c>
    </row>
    <row r="15" spans="3:8" s="3" customFormat="1" ht="21">
      <c r="C15" s="11">
        <v>2</v>
      </c>
      <c r="D15" s="11" t="s">
        <v>19</v>
      </c>
      <c r="E15" s="31">
        <v>8448.31</v>
      </c>
      <c r="F15" s="31">
        <f>53104.82-757.51</f>
        <v>52347.31</v>
      </c>
      <c r="G15" s="31">
        <v>50362.71</v>
      </c>
      <c r="H15" s="31">
        <f>E15+F15-G15</f>
        <v>10432.909999999996</v>
      </c>
    </row>
    <row r="16" spans="3:8" s="3" customFormat="1" ht="41.25">
      <c r="C16" s="11"/>
      <c r="D16" s="4" t="s">
        <v>0</v>
      </c>
      <c r="E16" s="32">
        <f>SUM(E14:E15)</f>
        <v>38183.7</v>
      </c>
      <c r="F16" s="32">
        <f>SUM(F14:F15)</f>
        <v>234280.85</v>
      </c>
      <c r="G16" s="32">
        <f>SUM(G14:G15)</f>
        <v>225474.53999999998</v>
      </c>
      <c r="H16" s="32">
        <f>SUM(H14:H15)</f>
        <v>46990.01</v>
      </c>
    </row>
    <row r="17" spans="3:8" s="3" customFormat="1" ht="21">
      <c r="C17" s="198" t="s">
        <v>21</v>
      </c>
      <c r="D17" s="199"/>
      <c r="E17" s="199"/>
      <c r="F17" s="199"/>
      <c r="G17" s="199"/>
      <c r="H17" s="200"/>
    </row>
    <row r="18" spans="3:8" s="3" customFormat="1" ht="21">
      <c r="C18" s="11">
        <v>3</v>
      </c>
      <c r="D18" s="11" t="s">
        <v>1</v>
      </c>
      <c r="E18" s="31">
        <v>123126.45</v>
      </c>
      <c r="F18" s="34">
        <f>762649.46-16598-8038.3</f>
        <v>738013.1599999999</v>
      </c>
      <c r="G18" s="34">
        <v>726317.82</v>
      </c>
      <c r="H18" s="34">
        <f aca="true" t="shared" si="0" ref="H18:H23">E18+F18-G18</f>
        <v>134821.78999999992</v>
      </c>
    </row>
    <row r="19" spans="3:9" s="3" customFormat="1" ht="21">
      <c r="C19" s="11">
        <v>4</v>
      </c>
      <c r="D19" s="11" t="s">
        <v>4</v>
      </c>
      <c r="E19" s="31">
        <v>17859.89</v>
      </c>
      <c r="F19" s="34">
        <f>123495.49-1623.47</f>
        <v>121872.02</v>
      </c>
      <c r="G19" s="34">
        <v>113948.72</v>
      </c>
      <c r="H19" s="34">
        <f t="shared" si="0"/>
        <v>25783.190000000002</v>
      </c>
      <c r="I19" s="42"/>
    </row>
    <row r="20" spans="3:8" s="3" customFormat="1" ht="21">
      <c r="C20" s="11">
        <v>5</v>
      </c>
      <c r="D20" s="14" t="s">
        <v>2</v>
      </c>
      <c r="E20" s="35">
        <v>11415.11</v>
      </c>
      <c r="F20" s="34">
        <v>35394.59</v>
      </c>
      <c r="G20" s="34">
        <v>32091.35</v>
      </c>
      <c r="H20" s="34">
        <f t="shared" si="0"/>
        <v>14718.349999999999</v>
      </c>
    </row>
    <row r="21" spans="3:8" s="3" customFormat="1" ht="21" hidden="1">
      <c r="C21" s="15">
        <v>5</v>
      </c>
      <c r="D21" s="14" t="s">
        <v>7</v>
      </c>
      <c r="E21" s="35"/>
      <c r="F21" s="34"/>
      <c r="G21" s="34"/>
      <c r="H21" s="34">
        <f t="shared" si="0"/>
        <v>0</v>
      </c>
    </row>
    <row r="22" spans="3:8" s="3" customFormat="1" ht="21">
      <c r="C22" s="15">
        <v>6</v>
      </c>
      <c r="D22" s="14" t="s">
        <v>7</v>
      </c>
      <c r="E22" s="35">
        <v>31584.31</v>
      </c>
      <c r="F22" s="34">
        <v>126123.88</v>
      </c>
      <c r="G22" s="34">
        <v>111977.62</v>
      </c>
      <c r="H22" s="34">
        <f t="shared" si="0"/>
        <v>45730.57000000001</v>
      </c>
    </row>
    <row r="23" spans="3:8" s="3" customFormat="1" ht="21">
      <c r="C23" s="15">
        <v>7</v>
      </c>
      <c r="D23" s="14" t="s">
        <v>82</v>
      </c>
      <c r="E23" s="35">
        <v>25245.34</v>
      </c>
      <c r="F23" s="34">
        <f>142267.79-3012.65</f>
        <v>139255.14</v>
      </c>
      <c r="G23" s="34">
        <v>136967.21</v>
      </c>
      <c r="H23" s="34">
        <f t="shared" si="0"/>
        <v>27533.27000000002</v>
      </c>
    </row>
    <row r="24" spans="3:8" s="3" customFormat="1" ht="21" hidden="1">
      <c r="C24" s="15">
        <v>7</v>
      </c>
      <c r="D24" s="14" t="s">
        <v>4</v>
      </c>
      <c r="E24" s="35"/>
      <c r="F24" s="34"/>
      <c r="G24" s="34"/>
      <c r="H24" s="34">
        <f>F24-G24</f>
        <v>0</v>
      </c>
    </row>
    <row r="25" spans="3:8" s="3" customFormat="1" ht="41.25">
      <c r="C25" s="11"/>
      <c r="D25" s="4" t="s">
        <v>5</v>
      </c>
      <c r="E25" s="32">
        <f>SUM(E18:E24)</f>
        <v>209231.1</v>
      </c>
      <c r="F25" s="32">
        <f>SUM(F18:F24)</f>
        <v>1160658.79</v>
      </c>
      <c r="G25" s="32">
        <f>SUM(G18:G24)</f>
        <v>1121302.72</v>
      </c>
      <c r="H25" s="32">
        <f>SUM(H18:H24)</f>
        <v>248587.16999999995</v>
      </c>
    </row>
    <row r="26" spans="3:8" s="3" customFormat="1" ht="41.25">
      <c r="C26" s="11"/>
      <c r="D26" s="4" t="s">
        <v>6</v>
      </c>
      <c r="E26" s="32">
        <f>E16+E25</f>
        <v>247414.8</v>
      </c>
      <c r="F26" s="32">
        <f>F16+F25</f>
        <v>1394939.6400000001</v>
      </c>
      <c r="G26" s="32">
        <f>G16+G25</f>
        <v>1346777.26</v>
      </c>
      <c r="H26" s="32">
        <f>H16+H25</f>
        <v>295577.17999999993</v>
      </c>
    </row>
    <row r="27" spans="3:8" s="3" customFormat="1" ht="21">
      <c r="C27" s="16"/>
      <c r="D27" s="17"/>
      <c r="E27" s="17"/>
      <c r="F27" s="18"/>
      <c r="G27" s="18"/>
      <c r="H27" s="18"/>
    </row>
    <row r="28" spans="3:8" s="3" customFormat="1" ht="21">
      <c r="C28" s="16"/>
      <c r="D28" s="17"/>
      <c r="E28" s="17"/>
      <c r="F28" s="18"/>
      <c r="G28" s="18"/>
      <c r="H28" s="18"/>
    </row>
    <row r="29" spans="7:8" s="3" customFormat="1" ht="21">
      <c r="G29" s="8"/>
      <c r="H29" s="8" t="s">
        <v>22</v>
      </c>
    </row>
    <row r="30" spans="3:8" s="3" customFormat="1" ht="25.5">
      <c r="C30" s="148" t="s">
        <v>259</v>
      </c>
      <c r="D30" s="149"/>
      <c r="E30" s="149"/>
      <c r="F30" s="149"/>
      <c r="G30" s="149"/>
      <c r="H30" s="150"/>
    </row>
    <row r="31" spans="3:8" s="3" customFormat="1" ht="63">
      <c r="C31" s="151" t="s">
        <v>260</v>
      </c>
      <c r="D31" s="152"/>
      <c r="E31" s="152"/>
      <c r="F31" s="153"/>
      <c r="G31" s="49" t="s">
        <v>23</v>
      </c>
      <c r="H31" s="62" t="s">
        <v>232</v>
      </c>
    </row>
    <row r="32" spans="3:8" s="3" customFormat="1" ht="180.75" customHeight="1">
      <c r="C32" s="178" t="s">
        <v>265</v>
      </c>
      <c r="D32" s="179"/>
      <c r="E32" s="179"/>
      <c r="F32" s="180"/>
      <c r="G32" s="65">
        <f>F14</f>
        <v>181933.54</v>
      </c>
      <c r="H32" s="65">
        <f>H14</f>
        <v>36557.100000000006</v>
      </c>
    </row>
    <row r="33" spans="3:8" s="3" customFormat="1" ht="25.5">
      <c r="C33" s="148" t="s">
        <v>258</v>
      </c>
      <c r="D33" s="149"/>
      <c r="E33" s="149"/>
      <c r="F33" s="149"/>
      <c r="G33" s="149"/>
      <c r="H33" s="150"/>
    </row>
    <row r="34" spans="3:8" s="3" customFormat="1" ht="63">
      <c r="C34" s="181" t="s">
        <v>261</v>
      </c>
      <c r="D34" s="182"/>
      <c r="E34" s="164" t="s">
        <v>260</v>
      </c>
      <c r="F34" s="165"/>
      <c r="G34" s="166"/>
      <c r="H34" s="111" t="s">
        <v>262</v>
      </c>
    </row>
    <row r="35" spans="3:8" s="3" customFormat="1" ht="21">
      <c r="C35" s="136"/>
      <c r="D35" s="131">
        <v>13091.1</v>
      </c>
      <c r="E35" s="195" t="s">
        <v>39</v>
      </c>
      <c r="F35" s="224"/>
      <c r="G35" s="35">
        <v>66.33</v>
      </c>
      <c r="H35" s="31"/>
    </row>
    <row r="36" spans="3:8" s="3" customFormat="1" ht="21">
      <c r="C36" s="129"/>
      <c r="D36" s="132"/>
      <c r="E36" s="195" t="s">
        <v>116</v>
      </c>
      <c r="F36" s="224"/>
      <c r="G36" s="35">
        <v>485</v>
      </c>
      <c r="H36" s="31"/>
    </row>
    <row r="37" spans="3:8" s="3" customFormat="1" ht="21">
      <c r="C37" s="129"/>
      <c r="D37" s="132"/>
      <c r="E37" s="195" t="s">
        <v>93</v>
      </c>
      <c r="F37" s="224"/>
      <c r="G37" s="35">
        <v>364.33</v>
      </c>
      <c r="H37" s="31"/>
    </row>
    <row r="38" spans="3:8" s="3" customFormat="1" ht="21">
      <c r="C38" s="129"/>
      <c r="D38" s="132"/>
      <c r="E38" s="195" t="s">
        <v>148</v>
      </c>
      <c r="F38" s="224"/>
      <c r="G38" s="35">
        <v>150</v>
      </c>
      <c r="H38" s="31"/>
    </row>
    <row r="39" spans="3:8" s="3" customFormat="1" ht="21">
      <c r="C39" s="129"/>
      <c r="D39" s="132"/>
      <c r="E39" s="195" t="s">
        <v>150</v>
      </c>
      <c r="F39" s="224"/>
      <c r="G39" s="35">
        <v>112</v>
      </c>
      <c r="H39" s="31"/>
    </row>
    <row r="40" spans="3:8" s="3" customFormat="1" ht="21">
      <c r="C40" s="129"/>
      <c r="D40" s="132"/>
      <c r="E40" s="195" t="s">
        <v>151</v>
      </c>
      <c r="F40" s="224"/>
      <c r="G40" s="35">
        <v>862.44</v>
      </c>
      <c r="H40" s="31"/>
    </row>
    <row r="41" spans="3:8" s="3" customFormat="1" ht="21">
      <c r="C41" s="129"/>
      <c r="D41" s="132"/>
      <c r="E41" s="195" t="s">
        <v>149</v>
      </c>
      <c r="F41" s="224"/>
      <c r="G41" s="35">
        <v>153</v>
      </c>
      <c r="H41" s="31"/>
    </row>
    <row r="42" spans="3:8" s="3" customFormat="1" ht="21">
      <c r="C42" s="129"/>
      <c r="D42" s="132"/>
      <c r="E42" s="193" t="s">
        <v>229</v>
      </c>
      <c r="F42" s="225"/>
      <c r="G42" s="36">
        <f>SUM(G35:G41)</f>
        <v>2193.1000000000004</v>
      </c>
      <c r="H42" s="33">
        <f>G15-G42</f>
        <v>48169.61</v>
      </c>
    </row>
    <row r="43" spans="3:8" s="3" customFormat="1" ht="21">
      <c r="C43" s="130"/>
      <c r="D43" s="139"/>
      <c r="E43" s="193" t="s">
        <v>230</v>
      </c>
      <c r="F43" s="225"/>
      <c r="G43" s="36"/>
      <c r="H43" s="33">
        <f>H42+D35</f>
        <v>61260.71</v>
      </c>
    </row>
    <row r="44" spans="3:8" s="3" customFormat="1" ht="21">
      <c r="C44" s="135">
        <v>3</v>
      </c>
      <c r="D44" s="126" t="s">
        <v>24</v>
      </c>
      <c r="E44" s="4"/>
      <c r="F44" s="25" t="s">
        <v>223</v>
      </c>
      <c r="G44" s="19"/>
      <c r="H44" s="11"/>
    </row>
    <row r="45" spans="3:8" s="3" customFormat="1" ht="21">
      <c r="C45" s="201"/>
      <c r="D45" s="204"/>
      <c r="E45" s="26"/>
      <c r="F45" s="24" t="s">
        <v>33</v>
      </c>
      <c r="G45" s="19"/>
      <c r="H45" s="11"/>
    </row>
    <row r="46" spans="3:8" s="3" customFormat="1" ht="21">
      <c r="C46" s="202"/>
      <c r="D46" s="202"/>
      <c r="E46" s="27"/>
      <c r="F46" s="25" t="s">
        <v>40</v>
      </c>
      <c r="G46" s="19"/>
      <c r="H46" s="11"/>
    </row>
    <row r="47" spans="3:8" s="3" customFormat="1" ht="21">
      <c r="C47" s="202"/>
      <c r="D47" s="202"/>
      <c r="E47" s="27"/>
      <c r="F47" s="24" t="s">
        <v>200</v>
      </c>
      <c r="G47" s="19"/>
      <c r="H47" s="11"/>
    </row>
    <row r="48" spans="3:8" s="3" customFormat="1" ht="21">
      <c r="C48" s="203"/>
      <c r="D48" s="203"/>
      <c r="E48" s="28"/>
      <c r="F48" s="24"/>
      <c r="G48" s="19"/>
      <c r="H48" s="11"/>
    </row>
    <row r="49" spans="3:8" s="3" customFormat="1" ht="21">
      <c r="C49" s="23"/>
      <c r="D49" s="23"/>
      <c r="E49" s="23"/>
      <c r="F49" s="24"/>
      <c r="G49" s="19"/>
      <c r="H49" s="11"/>
    </row>
    <row r="50" s="6" customFormat="1" ht="21">
      <c r="C50" s="3"/>
    </row>
    <row r="51" spans="4:6" s="5" customFormat="1" ht="26.25">
      <c r="D51" s="1"/>
      <c r="E51" s="1"/>
      <c r="F51"/>
    </row>
    <row r="52" spans="4:5" ht="26.25">
      <c r="D52" s="1"/>
      <c r="E52" s="1"/>
    </row>
  </sheetData>
  <sheetProtection/>
  <mergeCells count="19">
    <mergeCell ref="C13:H13"/>
    <mergeCell ref="C17:H17"/>
    <mergeCell ref="C45:C48"/>
    <mergeCell ref="D45:D48"/>
    <mergeCell ref="E36:F36"/>
    <mergeCell ref="E37:F37"/>
    <mergeCell ref="C30:H30"/>
    <mergeCell ref="C31:F31"/>
    <mergeCell ref="C32:F32"/>
    <mergeCell ref="C33:H33"/>
    <mergeCell ref="C34:D34"/>
    <mergeCell ref="E34:G34"/>
    <mergeCell ref="E35:F35"/>
    <mergeCell ref="E38:F38"/>
    <mergeCell ref="E43:F43"/>
    <mergeCell ref="E39:F39"/>
    <mergeCell ref="E40:F40"/>
    <mergeCell ref="E41:F41"/>
    <mergeCell ref="E42:F42"/>
  </mergeCells>
  <printOptions/>
  <pageMargins left="0.25" right="0.25" top="0.75" bottom="0.75" header="0.3" footer="0.3"/>
  <pageSetup horizontalDpi="600" verticalDpi="600" orientation="landscape" paperSize="9" scale="62" r:id="rId2"/>
  <rowBreaks count="1" manualBreakCount="1">
    <brk id="28" min="2" max="7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1:I57"/>
  <sheetViews>
    <sheetView view="pageBreakPreview" zoomScale="73" zoomScaleSheetLayoutView="73" zoomScalePageLayoutView="0" workbookViewId="0" topLeftCell="B40">
      <selection activeCell="D56" sqref="D56:F57"/>
    </sheetView>
  </sheetViews>
  <sheetFormatPr defaultColWidth="9.140625" defaultRowHeight="15"/>
  <cols>
    <col min="1" max="2" width="9.140625" style="45" customWidth="1"/>
    <col min="3" max="3" width="9.00390625" style="45" customWidth="1"/>
    <col min="4" max="5" width="40.421875" style="45" customWidth="1"/>
    <col min="6" max="6" width="48.57421875" style="45" customWidth="1"/>
    <col min="7" max="7" width="34.140625" style="45" customWidth="1"/>
    <col min="8" max="8" width="31.140625" style="45" customWidth="1"/>
    <col min="9" max="9" width="19.28125" style="45" customWidth="1"/>
    <col min="10" max="16384" width="9.140625" style="45" customWidth="1"/>
  </cols>
  <sheetData>
    <row r="1" spans="4:7" s="43" customFormat="1" ht="28.5">
      <c r="D1" s="44" t="s">
        <v>26</v>
      </c>
      <c r="E1" s="44"/>
      <c r="F1" s="44"/>
      <c r="G1" s="44"/>
    </row>
    <row r="2" spans="4:7" s="43" customFormat="1" ht="28.5">
      <c r="D2" s="44" t="s">
        <v>27</v>
      </c>
      <c r="E2" s="44"/>
      <c r="F2" s="44"/>
      <c r="G2" s="44"/>
    </row>
    <row r="3" spans="4:8" ht="18.75">
      <c r="D3" s="46" t="s">
        <v>28</v>
      </c>
      <c r="E3" s="46"/>
      <c r="F3" s="46"/>
      <c r="G3" s="46"/>
      <c r="H3" s="47"/>
    </row>
    <row r="4" spans="4:8" ht="18.75">
      <c r="D4" s="46" t="s">
        <v>29</v>
      </c>
      <c r="E4" s="46"/>
      <c r="F4" s="46"/>
      <c r="G4" s="46"/>
      <c r="H4" s="47"/>
    </row>
    <row r="5" spans="4:8" ht="15">
      <c r="D5" s="47"/>
      <c r="E5" s="47"/>
      <c r="F5" s="47"/>
      <c r="G5" s="47"/>
      <c r="H5" s="47"/>
    </row>
    <row r="6" spans="4:7" s="48" customFormat="1" ht="26.25">
      <c r="D6" s="43" t="s">
        <v>30</v>
      </c>
      <c r="E6" s="43"/>
      <c r="F6" s="43"/>
      <c r="G6" s="43"/>
    </row>
    <row r="7" spans="4:7" s="48" customFormat="1" ht="26.25">
      <c r="D7" s="43" t="s">
        <v>152</v>
      </c>
      <c r="E7" s="43"/>
      <c r="F7" s="43"/>
      <c r="G7" s="43"/>
    </row>
    <row r="8" spans="4:7" s="48" customFormat="1" ht="26.25">
      <c r="D8" s="43" t="s">
        <v>90</v>
      </c>
      <c r="E8" s="43"/>
      <c r="F8" s="43"/>
      <c r="G8" s="43"/>
    </row>
    <row r="9" spans="4:8" ht="15">
      <c r="D9" s="47"/>
      <c r="E9" s="47"/>
      <c r="F9" s="47"/>
      <c r="G9" s="47"/>
      <c r="H9" s="47"/>
    </row>
    <row r="10" spans="3:8" ht="21">
      <c r="C10" s="48" t="s">
        <v>81</v>
      </c>
      <c r="D10" s="47"/>
      <c r="E10" s="47"/>
      <c r="F10" s="47"/>
      <c r="G10" s="47"/>
      <c r="H10" s="47"/>
    </row>
    <row r="11" s="48" customFormat="1" ht="34.5" customHeight="1">
      <c r="H11" s="61" t="s">
        <v>20</v>
      </c>
    </row>
    <row r="12" spans="3:8" s="50" customFormat="1" ht="40.5">
      <c r="C12" s="49" t="s">
        <v>13</v>
      </c>
      <c r="D12" s="49" t="s">
        <v>14</v>
      </c>
      <c r="E12" s="49" t="s">
        <v>172</v>
      </c>
      <c r="F12" s="49" t="s">
        <v>15</v>
      </c>
      <c r="G12" s="49" t="s">
        <v>16</v>
      </c>
      <c r="H12" s="49" t="s">
        <v>11</v>
      </c>
    </row>
    <row r="13" spans="3:8" s="48" customFormat="1" ht="21">
      <c r="C13" s="145" t="s">
        <v>17</v>
      </c>
      <c r="D13" s="146"/>
      <c r="E13" s="146"/>
      <c r="F13" s="146"/>
      <c r="G13" s="146"/>
      <c r="H13" s="147"/>
    </row>
    <row r="14" spans="3:8" s="48" customFormat="1" ht="21">
      <c r="C14" s="15">
        <v>1</v>
      </c>
      <c r="D14" s="15" t="s">
        <v>18</v>
      </c>
      <c r="E14" s="51">
        <v>30882.23</v>
      </c>
      <c r="F14" s="51">
        <v>183848.49</v>
      </c>
      <c r="G14" s="51">
        <v>183223.28</v>
      </c>
      <c r="H14" s="51">
        <f>E14+F14-G14</f>
        <v>31507.440000000002</v>
      </c>
    </row>
    <row r="15" spans="3:8" s="48" customFormat="1" ht="21">
      <c r="C15" s="15">
        <v>2</v>
      </c>
      <c r="D15" s="15" t="s">
        <v>19</v>
      </c>
      <c r="E15" s="51">
        <v>8358.33</v>
      </c>
      <c r="F15" s="51">
        <v>34513.55</v>
      </c>
      <c r="G15" s="51">
        <v>45673.79</v>
      </c>
      <c r="H15" s="51">
        <f>E15+F15-G15</f>
        <v>-2801.909999999996</v>
      </c>
    </row>
    <row r="16" spans="3:8" s="48" customFormat="1" ht="42">
      <c r="C16" s="15">
        <v>3</v>
      </c>
      <c r="D16" s="82" t="s">
        <v>186</v>
      </c>
      <c r="E16" s="51"/>
      <c r="F16" s="51">
        <v>19800</v>
      </c>
      <c r="G16" s="51">
        <v>16572.31</v>
      </c>
      <c r="H16" s="51">
        <f>E16+F16-G16</f>
        <v>3227.6899999999987</v>
      </c>
    </row>
    <row r="17" spans="3:8" s="48" customFormat="1" ht="41.25">
      <c r="C17" s="15"/>
      <c r="D17" s="52" t="s">
        <v>0</v>
      </c>
      <c r="E17" s="53">
        <f>SUM(E14:E16)</f>
        <v>39240.56</v>
      </c>
      <c r="F17" s="53">
        <f>SUM(F14:F16)</f>
        <v>238162.03999999998</v>
      </c>
      <c r="G17" s="53">
        <f>SUM(G14:G16)</f>
        <v>245469.38</v>
      </c>
      <c r="H17" s="53">
        <f>SUM(H14:H16)</f>
        <v>31933.220000000005</v>
      </c>
    </row>
    <row r="18" spans="3:8" s="48" customFormat="1" ht="21">
      <c r="C18" s="145" t="s">
        <v>21</v>
      </c>
      <c r="D18" s="146"/>
      <c r="E18" s="146"/>
      <c r="F18" s="146"/>
      <c r="G18" s="146"/>
      <c r="H18" s="147"/>
    </row>
    <row r="19" spans="3:8" s="48" customFormat="1" ht="21">
      <c r="C19" s="15">
        <v>4</v>
      </c>
      <c r="D19" s="15" t="s">
        <v>1</v>
      </c>
      <c r="E19" s="51">
        <v>123126.45</v>
      </c>
      <c r="F19" s="55">
        <v>855513.19</v>
      </c>
      <c r="G19" s="55">
        <f>795147.13-8089.54</f>
        <v>787057.59</v>
      </c>
      <c r="H19" s="55">
        <f>E19+F19-G19</f>
        <v>191582.04999999993</v>
      </c>
    </row>
    <row r="20" spans="3:8" s="48" customFormat="1" ht="21">
      <c r="C20" s="15">
        <v>5</v>
      </c>
      <c r="D20" s="15" t="s">
        <v>4</v>
      </c>
      <c r="E20" s="51">
        <v>18337.84</v>
      </c>
      <c r="F20" s="55">
        <v>121956.61</v>
      </c>
      <c r="G20" s="55">
        <v>124529.46</v>
      </c>
      <c r="H20" s="55">
        <f>E20+F20-G20</f>
        <v>15764.990000000005</v>
      </c>
    </row>
    <row r="21" spans="3:8" s="48" customFormat="1" ht="21">
      <c r="C21" s="15">
        <v>6</v>
      </c>
      <c r="D21" s="56" t="s">
        <v>2</v>
      </c>
      <c r="E21" s="57">
        <v>7874.28</v>
      </c>
      <c r="F21" s="55">
        <v>28324.13</v>
      </c>
      <c r="G21" s="55">
        <v>30423.27</v>
      </c>
      <c r="H21" s="55">
        <f>E21+F21-G21</f>
        <v>5775.140000000003</v>
      </c>
    </row>
    <row r="22" spans="3:8" s="48" customFormat="1" ht="21">
      <c r="C22" s="15">
        <v>7</v>
      </c>
      <c r="D22" s="56" t="s">
        <v>7</v>
      </c>
      <c r="E22" s="57">
        <v>22556.2</v>
      </c>
      <c r="F22" s="55">
        <v>104187.06</v>
      </c>
      <c r="G22" s="55">
        <v>114578.63</v>
      </c>
      <c r="H22" s="55">
        <f>E22+F22-G22</f>
        <v>12164.62999999999</v>
      </c>
    </row>
    <row r="23" spans="3:8" s="48" customFormat="1" ht="21">
      <c r="C23" s="15">
        <v>8</v>
      </c>
      <c r="D23" s="56" t="s">
        <v>82</v>
      </c>
      <c r="E23" s="57">
        <v>13907.4</v>
      </c>
      <c r="F23" s="55">
        <v>103947.79</v>
      </c>
      <c r="G23" s="55">
        <v>105922.99</v>
      </c>
      <c r="H23" s="55">
        <f>E23+F23-G23</f>
        <v>11932.199999999983</v>
      </c>
    </row>
    <row r="24" spans="3:8" s="48" customFormat="1" ht="41.25">
      <c r="C24" s="15"/>
      <c r="D24" s="52" t="s">
        <v>5</v>
      </c>
      <c r="E24" s="53">
        <f>SUM(E19:E23)</f>
        <v>185802.17</v>
      </c>
      <c r="F24" s="53">
        <f>SUM(F19:F23)</f>
        <v>1213928.78</v>
      </c>
      <c r="G24" s="53">
        <f>SUM(G19:G23)</f>
        <v>1162511.94</v>
      </c>
      <c r="H24" s="53">
        <f>SUM(H19:H23)</f>
        <v>237219.00999999992</v>
      </c>
    </row>
    <row r="25" spans="3:9" s="48" customFormat="1" ht="41.25">
      <c r="C25" s="15"/>
      <c r="D25" s="52" t="s">
        <v>6</v>
      </c>
      <c r="E25" s="53">
        <f>E17+E24</f>
        <v>225042.73</v>
      </c>
      <c r="F25" s="53">
        <f>F17+F24</f>
        <v>1452090.82</v>
      </c>
      <c r="G25" s="53">
        <f>G17+G24</f>
        <v>1407981.3199999998</v>
      </c>
      <c r="H25" s="53">
        <f>H17+H24</f>
        <v>269152.2299999999</v>
      </c>
      <c r="I25" s="84"/>
    </row>
    <row r="26" spans="3:9" s="48" customFormat="1" ht="21">
      <c r="C26" s="58"/>
      <c r="D26" s="59"/>
      <c r="E26" s="59"/>
      <c r="F26" s="60"/>
      <c r="G26" s="60"/>
      <c r="H26" s="60"/>
      <c r="I26" s="94"/>
    </row>
    <row r="27" spans="3:8" s="48" customFormat="1" ht="21">
      <c r="C27" s="58"/>
      <c r="D27" s="59"/>
      <c r="E27" s="59"/>
      <c r="F27" s="60"/>
      <c r="G27" s="60"/>
      <c r="H27" s="60"/>
    </row>
    <row r="28" spans="7:8" s="48" customFormat="1" ht="21">
      <c r="G28" s="61"/>
      <c r="H28" s="61" t="s">
        <v>22</v>
      </c>
    </row>
    <row r="29" spans="3:8" s="48" customFormat="1" ht="25.5">
      <c r="C29" s="148" t="s">
        <v>259</v>
      </c>
      <c r="D29" s="149"/>
      <c r="E29" s="149"/>
      <c r="F29" s="149"/>
      <c r="G29" s="149"/>
      <c r="H29" s="150"/>
    </row>
    <row r="30" spans="3:8" s="48" customFormat="1" ht="42">
      <c r="C30" s="151" t="s">
        <v>260</v>
      </c>
      <c r="D30" s="152"/>
      <c r="E30" s="152"/>
      <c r="F30" s="153"/>
      <c r="G30" s="49" t="s">
        <v>23</v>
      </c>
      <c r="H30" s="62" t="s">
        <v>232</v>
      </c>
    </row>
    <row r="31" spans="3:8" s="48" customFormat="1" ht="177" customHeight="1">
      <c r="C31" s="178" t="s">
        <v>265</v>
      </c>
      <c r="D31" s="179"/>
      <c r="E31" s="179"/>
      <c r="F31" s="180"/>
      <c r="G31" s="65">
        <f>F14</f>
        <v>183848.49</v>
      </c>
      <c r="H31" s="65">
        <f>H14</f>
        <v>31507.440000000002</v>
      </c>
    </row>
    <row r="32" spans="3:8" s="48" customFormat="1" ht="25.5">
      <c r="C32" s="148" t="s">
        <v>258</v>
      </c>
      <c r="D32" s="149"/>
      <c r="E32" s="149"/>
      <c r="F32" s="149"/>
      <c r="G32" s="149"/>
      <c r="H32" s="150"/>
    </row>
    <row r="33" spans="3:8" s="48" customFormat="1" ht="63">
      <c r="C33" s="181" t="s">
        <v>261</v>
      </c>
      <c r="D33" s="182"/>
      <c r="E33" s="164" t="s">
        <v>260</v>
      </c>
      <c r="F33" s="165"/>
      <c r="G33" s="166"/>
      <c r="H33" s="111" t="s">
        <v>262</v>
      </c>
    </row>
    <row r="34" spans="3:8" s="48" customFormat="1" ht="21">
      <c r="C34" s="122"/>
      <c r="D34" s="123">
        <v>12694.1</v>
      </c>
      <c r="E34" s="168" t="s">
        <v>12</v>
      </c>
      <c r="F34" s="144"/>
      <c r="G34" s="57">
        <v>80</v>
      </c>
      <c r="H34" s="51"/>
    </row>
    <row r="35" spans="3:8" s="48" customFormat="1" ht="21">
      <c r="C35" s="118"/>
      <c r="D35" s="124"/>
      <c r="E35" s="168" t="s">
        <v>153</v>
      </c>
      <c r="F35" s="144"/>
      <c r="G35" s="57">
        <v>637</v>
      </c>
      <c r="H35" s="51"/>
    </row>
    <row r="36" spans="3:8" s="48" customFormat="1" ht="21">
      <c r="C36" s="118"/>
      <c r="D36" s="124"/>
      <c r="E36" s="168" t="s">
        <v>154</v>
      </c>
      <c r="F36" s="144"/>
      <c r="G36" s="57">
        <v>139</v>
      </c>
      <c r="H36" s="51"/>
    </row>
    <row r="37" spans="3:8" s="48" customFormat="1" ht="21">
      <c r="C37" s="118"/>
      <c r="D37" s="124"/>
      <c r="E37" s="168" t="s">
        <v>131</v>
      </c>
      <c r="F37" s="144"/>
      <c r="G37" s="57">
        <v>66.33</v>
      </c>
      <c r="H37" s="51"/>
    </row>
    <row r="38" spans="3:8" s="48" customFormat="1" ht="21">
      <c r="C38" s="118"/>
      <c r="D38" s="124"/>
      <c r="E38" s="168" t="s">
        <v>155</v>
      </c>
      <c r="F38" s="144"/>
      <c r="G38" s="57">
        <v>2321</v>
      </c>
      <c r="H38" s="51"/>
    </row>
    <row r="39" spans="3:8" s="48" customFormat="1" ht="21">
      <c r="C39" s="118"/>
      <c r="D39" s="124"/>
      <c r="E39" s="168" t="s">
        <v>116</v>
      </c>
      <c r="F39" s="144"/>
      <c r="G39" s="57">
        <v>485</v>
      </c>
      <c r="H39" s="51"/>
    </row>
    <row r="40" spans="3:8" s="48" customFormat="1" ht="21">
      <c r="C40" s="118"/>
      <c r="D40" s="124"/>
      <c r="E40" s="168" t="s">
        <v>102</v>
      </c>
      <c r="F40" s="144"/>
      <c r="G40" s="57">
        <v>1500</v>
      </c>
      <c r="H40" s="51"/>
    </row>
    <row r="41" spans="3:8" s="48" customFormat="1" ht="21">
      <c r="C41" s="118"/>
      <c r="D41" s="124"/>
      <c r="E41" s="168" t="s">
        <v>93</v>
      </c>
      <c r="F41" s="144"/>
      <c r="G41" s="57">
        <v>373.94</v>
      </c>
      <c r="H41" s="51"/>
    </row>
    <row r="42" spans="3:8" s="48" customFormat="1" ht="21">
      <c r="C42" s="118"/>
      <c r="D42" s="124"/>
      <c r="E42" s="168" t="s">
        <v>83</v>
      </c>
      <c r="F42" s="144"/>
      <c r="G42" s="57">
        <v>7800</v>
      </c>
      <c r="H42" s="51"/>
    </row>
    <row r="43" spans="3:8" s="48" customFormat="1" ht="21">
      <c r="C43" s="118"/>
      <c r="D43" s="124"/>
      <c r="E43" s="168" t="s">
        <v>157</v>
      </c>
      <c r="F43" s="144"/>
      <c r="G43" s="57">
        <v>30000</v>
      </c>
      <c r="H43" s="51"/>
    </row>
    <row r="44" spans="3:8" s="48" customFormat="1" ht="21">
      <c r="C44" s="118"/>
      <c r="D44" s="124"/>
      <c r="E44" s="168" t="s">
        <v>158</v>
      </c>
      <c r="F44" s="144"/>
      <c r="G44" s="57">
        <v>843.21</v>
      </c>
      <c r="H44" s="51"/>
    </row>
    <row r="45" spans="3:8" s="48" customFormat="1" ht="21">
      <c r="C45" s="118"/>
      <c r="D45" s="124"/>
      <c r="E45" s="168" t="s">
        <v>156</v>
      </c>
      <c r="F45" s="144"/>
      <c r="G45" s="57">
        <v>190</v>
      </c>
      <c r="H45" s="51"/>
    </row>
    <row r="46" spans="3:8" s="48" customFormat="1" ht="21">
      <c r="C46" s="118"/>
      <c r="D46" s="125"/>
      <c r="E46" s="170" t="s">
        <v>229</v>
      </c>
      <c r="F46" s="177"/>
      <c r="G46" s="83">
        <f>SUM(G34:G45)</f>
        <v>44435.48</v>
      </c>
      <c r="H46" s="91">
        <f>G15-G46</f>
        <v>1238.3099999999977</v>
      </c>
    </row>
    <row r="47" spans="3:8" s="48" customFormat="1" ht="21">
      <c r="C47" s="72"/>
      <c r="D47" s="114"/>
      <c r="E47" s="170" t="s">
        <v>230</v>
      </c>
      <c r="F47" s="177"/>
      <c r="G47" s="83"/>
      <c r="H47" s="91">
        <f>H46+D34</f>
        <v>13932.409999999998</v>
      </c>
    </row>
    <row r="48" spans="3:8" s="48" customFormat="1" ht="21">
      <c r="C48" s="116">
        <v>3</v>
      </c>
      <c r="D48" s="115" t="s">
        <v>24</v>
      </c>
      <c r="E48" s="52"/>
      <c r="F48" s="76" t="s">
        <v>224</v>
      </c>
      <c r="G48" s="66"/>
      <c r="H48" s="15"/>
    </row>
    <row r="49" spans="3:8" s="48" customFormat="1" ht="21">
      <c r="C49" s="159"/>
      <c r="D49" s="157"/>
      <c r="E49" s="69"/>
      <c r="F49" s="103" t="s">
        <v>10</v>
      </c>
      <c r="G49" s="66"/>
      <c r="H49" s="15"/>
    </row>
    <row r="50" spans="3:8" s="48" customFormat="1" ht="21">
      <c r="C50" s="161"/>
      <c r="D50" s="161"/>
      <c r="E50" s="71"/>
      <c r="F50" s="86"/>
      <c r="G50" s="66"/>
      <c r="H50" s="15"/>
    </row>
    <row r="51" spans="3:8" s="48" customFormat="1" ht="21">
      <c r="C51" s="96"/>
      <c r="D51" s="96"/>
      <c r="E51" s="96"/>
      <c r="F51" s="97"/>
      <c r="G51" s="93"/>
      <c r="H51" s="58"/>
    </row>
    <row r="52" spans="3:9" s="81" customFormat="1" ht="21">
      <c r="C52" s="96"/>
      <c r="D52" s="96"/>
      <c r="E52" s="96"/>
      <c r="F52" s="97"/>
      <c r="G52" s="93"/>
      <c r="H52" s="58"/>
      <c r="I52" s="61" t="s">
        <v>52</v>
      </c>
    </row>
    <row r="53" spans="3:9" s="79" customFormat="1" ht="63">
      <c r="C53" s="49" t="s">
        <v>13</v>
      </c>
      <c r="D53" s="49" t="s">
        <v>55</v>
      </c>
      <c r="E53" s="49" t="s">
        <v>53</v>
      </c>
      <c r="F53" s="49" t="s">
        <v>189</v>
      </c>
      <c r="G53" s="49" t="s">
        <v>190</v>
      </c>
      <c r="H53" s="77" t="s">
        <v>185</v>
      </c>
      <c r="I53" s="78" t="s">
        <v>54</v>
      </c>
    </row>
    <row r="54" spans="3:9" ht="21">
      <c r="C54" s="15">
        <v>1</v>
      </c>
      <c r="D54" s="15" t="s">
        <v>202</v>
      </c>
      <c r="E54" s="51">
        <v>246464</v>
      </c>
      <c r="F54" s="51">
        <v>39887.56</v>
      </c>
      <c r="G54" s="51">
        <v>21662.73</v>
      </c>
      <c r="H54" s="80">
        <f>F54-G54</f>
        <v>18224.829999999998</v>
      </c>
      <c r="I54" s="51">
        <f>E54-F54</f>
        <v>206576.44</v>
      </c>
    </row>
    <row r="55" spans="3:9" ht="15">
      <c r="C55" s="79"/>
      <c r="D55" s="79"/>
      <c r="E55" s="79"/>
      <c r="F55" s="79"/>
      <c r="G55" s="79"/>
      <c r="H55" s="79"/>
      <c r="I55" s="79"/>
    </row>
    <row r="56" spans="4:5" ht="26.25">
      <c r="D56" s="43"/>
      <c r="E56" s="43"/>
    </row>
    <row r="57" spans="4:5" ht="26.25">
      <c r="D57" s="43"/>
      <c r="E57" s="43"/>
    </row>
  </sheetData>
  <sheetProtection/>
  <mergeCells count="24">
    <mergeCell ref="C13:H13"/>
    <mergeCell ref="C18:H18"/>
    <mergeCell ref="C49:C50"/>
    <mergeCell ref="D49:D50"/>
    <mergeCell ref="E36:F36"/>
    <mergeCell ref="E35:F35"/>
    <mergeCell ref="C29:H29"/>
    <mergeCell ref="C30:F30"/>
    <mergeCell ref="C31:F31"/>
    <mergeCell ref="C32:H32"/>
    <mergeCell ref="C33:D33"/>
    <mergeCell ref="E33:G33"/>
    <mergeCell ref="E34:F34"/>
    <mergeCell ref="E37:F37"/>
    <mergeCell ref="E38:F38"/>
    <mergeCell ref="E39:F39"/>
    <mergeCell ref="E40:F40"/>
    <mergeCell ref="E41:F41"/>
    <mergeCell ref="E46:F46"/>
    <mergeCell ref="E47:F47"/>
    <mergeCell ref="E42:F42"/>
    <mergeCell ref="E43:F43"/>
    <mergeCell ref="E44:F44"/>
    <mergeCell ref="E45:F45"/>
  </mergeCells>
  <printOptions/>
  <pageMargins left="0.25" right="0.25" top="0.75" bottom="0.75" header="0.3" footer="0.3"/>
  <pageSetup horizontalDpi="600" verticalDpi="600" orientation="landscape" paperSize="9" scale="49" r:id="rId2"/>
  <rowBreaks count="1" manualBreakCount="1">
    <brk id="31" min="2" max="9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C1:I50"/>
  <sheetViews>
    <sheetView view="pageBreakPreview" zoomScale="73" zoomScaleSheetLayoutView="73" zoomScalePageLayoutView="0" workbookViewId="0" topLeftCell="B40">
      <selection activeCell="D49" sqref="D49:E50"/>
    </sheetView>
  </sheetViews>
  <sheetFormatPr defaultColWidth="9.140625" defaultRowHeight="15"/>
  <cols>
    <col min="3" max="3" width="9.00390625" style="0" customWidth="1"/>
    <col min="4" max="5" width="40.421875" style="0" customWidth="1"/>
    <col min="6" max="6" width="48.57421875" style="0" customWidth="1"/>
    <col min="7" max="7" width="34.140625" style="0" customWidth="1"/>
    <col min="8" max="8" width="32.28125" style="0" customWidth="1"/>
    <col min="9" max="9" width="15.57421875" style="0" bestFit="1" customWidth="1"/>
  </cols>
  <sheetData>
    <row r="1" spans="4:7" s="1" customFormat="1" ht="28.5">
      <c r="D1" s="21" t="s">
        <v>26</v>
      </c>
      <c r="E1" s="21"/>
      <c r="F1" s="21"/>
      <c r="G1" s="21"/>
    </row>
    <row r="2" spans="4:7" s="1" customFormat="1" ht="28.5">
      <c r="D2" s="21" t="s">
        <v>27</v>
      </c>
      <c r="E2" s="21"/>
      <c r="F2" s="21"/>
      <c r="G2" s="21"/>
    </row>
    <row r="3" spans="4:8" ht="18.75">
      <c r="D3" s="2" t="s">
        <v>28</v>
      </c>
      <c r="E3" s="2"/>
      <c r="F3" s="2"/>
      <c r="G3" s="2"/>
      <c r="H3" s="7"/>
    </row>
    <row r="4" spans="4:8" ht="18.75">
      <c r="D4" s="2" t="s">
        <v>29</v>
      </c>
      <c r="E4" s="2"/>
      <c r="F4" s="2"/>
      <c r="G4" s="2"/>
      <c r="H4" s="7"/>
    </row>
    <row r="5" spans="4:8" ht="15">
      <c r="D5" s="7"/>
      <c r="E5" s="7"/>
      <c r="F5" s="7"/>
      <c r="G5" s="7"/>
      <c r="H5" s="7"/>
    </row>
    <row r="6" spans="4:7" s="3" customFormat="1" ht="26.25">
      <c r="D6" s="1" t="s">
        <v>30</v>
      </c>
      <c r="E6" s="1"/>
      <c r="F6" s="1"/>
      <c r="G6" s="1"/>
    </row>
    <row r="7" spans="4:7" s="3" customFormat="1" ht="26.25">
      <c r="D7" s="1" t="s">
        <v>84</v>
      </c>
      <c r="E7" s="1"/>
      <c r="F7" s="1"/>
      <c r="G7" s="1"/>
    </row>
    <row r="8" spans="4:7" s="3" customFormat="1" ht="26.25">
      <c r="D8" s="1" t="s">
        <v>90</v>
      </c>
      <c r="E8" s="1"/>
      <c r="F8" s="1"/>
      <c r="G8" s="1"/>
    </row>
    <row r="9" spans="4:8" ht="15">
      <c r="D9" s="7"/>
      <c r="E9" s="7"/>
      <c r="F9" s="7"/>
      <c r="G9" s="7"/>
      <c r="H9" s="7"/>
    </row>
    <row r="10" spans="3:8" ht="21">
      <c r="C10" s="3" t="s">
        <v>85</v>
      </c>
      <c r="D10" s="7"/>
      <c r="E10" s="7"/>
      <c r="F10" s="7"/>
      <c r="G10" s="7"/>
      <c r="H10" s="7"/>
    </row>
    <row r="11" s="3" customFormat="1" ht="34.5" customHeight="1">
      <c r="H11" s="8" t="s">
        <v>20</v>
      </c>
    </row>
    <row r="12" spans="3:8" s="10" customFormat="1" ht="40.5">
      <c r="C12" s="9" t="s">
        <v>13</v>
      </c>
      <c r="D12" s="9" t="s">
        <v>14</v>
      </c>
      <c r="E12" s="9" t="s">
        <v>172</v>
      </c>
      <c r="F12" s="9" t="s">
        <v>15</v>
      </c>
      <c r="G12" s="9" t="s">
        <v>16</v>
      </c>
      <c r="H12" s="9" t="s">
        <v>11</v>
      </c>
    </row>
    <row r="13" spans="3:8" s="3" customFormat="1" ht="21">
      <c r="C13" s="198" t="s">
        <v>17</v>
      </c>
      <c r="D13" s="199"/>
      <c r="E13" s="199"/>
      <c r="F13" s="199"/>
      <c r="G13" s="199"/>
      <c r="H13" s="200"/>
    </row>
    <row r="14" spans="3:8" s="3" customFormat="1" ht="21">
      <c r="C14" s="11">
        <v>1</v>
      </c>
      <c r="D14" s="11" t="s">
        <v>18</v>
      </c>
      <c r="E14" s="31">
        <v>14736.67</v>
      </c>
      <c r="F14" s="31">
        <v>87890.33</v>
      </c>
      <c r="G14" s="31">
        <v>76281.22</v>
      </c>
      <c r="H14" s="31">
        <f>E14+F14-G14</f>
        <v>26345.78</v>
      </c>
    </row>
    <row r="15" spans="3:8" s="3" customFormat="1" ht="21">
      <c r="C15" s="11">
        <v>2</v>
      </c>
      <c r="D15" s="11" t="s">
        <v>19</v>
      </c>
      <c r="E15" s="31">
        <v>4254.29</v>
      </c>
      <c r="F15" s="31">
        <v>25692.24</v>
      </c>
      <c r="G15" s="31">
        <v>22246.83</v>
      </c>
      <c r="H15" s="31">
        <f>E15+F15-G15</f>
        <v>7699.700000000001</v>
      </c>
    </row>
    <row r="16" spans="3:8" s="3" customFormat="1" ht="41.25">
      <c r="C16" s="11"/>
      <c r="D16" s="4" t="s">
        <v>0</v>
      </c>
      <c r="E16" s="32">
        <f>SUM(E14:E15)</f>
        <v>18990.96</v>
      </c>
      <c r="F16" s="32">
        <f>SUM(F14:F15)</f>
        <v>113582.57</v>
      </c>
      <c r="G16" s="32">
        <f>SUM(G14:G15)</f>
        <v>98528.05</v>
      </c>
      <c r="H16" s="32">
        <f>SUM(H14:H15)</f>
        <v>34045.479999999996</v>
      </c>
    </row>
    <row r="17" spans="3:8" s="3" customFormat="1" ht="21">
      <c r="C17" s="198" t="s">
        <v>21</v>
      </c>
      <c r="D17" s="199"/>
      <c r="E17" s="199"/>
      <c r="F17" s="199"/>
      <c r="G17" s="199"/>
      <c r="H17" s="200"/>
    </row>
    <row r="18" spans="3:8" s="3" customFormat="1" ht="21">
      <c r="C18" s="11">
        <v>3</v>
      </c>
      <c r="D18" s="11" t="s">
        <v>1</v>
      </c>
      <c r="E18" s="31">
        <v>52491.61</v>
      </c>
      <c r="F18" s="34">
        <f>318362.05-6956.54</f>
        <v>311405.51</v>
      </c>
      <c r="G18" s="34">
        <v>278175.15</v>
      </c>
      <c r="H18" s="34">
        <f aca="true" t="shared" si="0" ref="H18:H23">E18+F18-G18</f>
        <v>85721.96999999997</v>
      </c>
    </row>
    <row r="19" spans="3:8" s="3" customFormat="1" ht="21">
      <c r="C19" s="11">
        <v>4</v>
      </c>
      <c r="D19" s="11" t="s">
        <v>4</v>
      </c>
      <c r="E19" s="31">
        <v>10418.33</v>
      </c>
      <c r="F19" s="34">
        <v>84164.25</v>
      </c>
      <c r="G19" s="34">
        <v>67797.58</v>
      </c>
      <c r="H19" s="34">
        <f t="shared" si="0"/>
        <v>26785</v>
      </c>
    </row>
    <row r="20" spans="3:8" s="3" customFormat="1" ht="21">
      <c r="C20" s="11">
        <v>5</v>
      </c>
      <c r="D20" s="11" t="s">
        <v>7</v>
      </c>
      <c r="E20" s="31">
        <v>23006.54</v>
      </c>
      <c r="F20" s="34">
        <v>80328.3</v>
      </c>
      <c r="G20" s="34">
        <v>70283.39</v>
      </c>
      <c r="H20" s="34">
        <f t="shared" si="0"/>
        <v>33051.45</v>
      </c>
    </row>
    <row r="21" spans="3:8" s="3" customFormat="1" ht="21">
      <c r="C21" s="11">
        <v>6</v>
      </c>
      <c r="D21" s="14" t="s">
        <v>2</v>
      </c>
      <c r="E21" s="35">
        <v>7162.91</v>
      </c>
      <c r="F21" s="34">
        <v>24540.11</v>
      </c>
      <c r="G21" s="34">
        <v>19365.65</v>
      </c>
      <c r="H21" s="34">
        <f t="shared" si="0"/>
        <v>12337.369999999999</v>
      </c>
    </row>
    <row r="22" spans="3:8" s="3" customFormat="1" ht="21" hidden="1">
      <c r="C22" s="15">
        <v>5</v>
      </c>
      <c r="D22" s="14" t="s">
        <v>7</v>
      </c>
      <c r="E22" s="35"/>
      <c r="F22" s="34"/>
      <c r="G22" s="34"/>
      <c r="H22" s="34">
        <f t="shared" si="0"/>
        <v>0</v>
      </c>
    </row>
    <row r="23" spans="3:8" s="3" customFormat="1" ht="21">
      <c r="C23" s="15">
        <v>7</v>
      </c>
      <c r="D23" s="14" t="s">
        <v>82</v>
      </c>
      <c r="E23" s="35">
        <v>13069.33</v>
      </c>
      <c r="F23" s="34">
        <v>82554.88</v>
      </c>
      <c r="G23" s="34">
        <v>64632.78</v>
      </c>
      <c r="H23" s="34">
        <f t="shared" si="0"/>
        <v>30991.430000000008</v>
      </c>
    </row>
    <row r="24" spans="3:8" s="3" customFormat="1" ht="21" hidden="1">
      <c r="C24" s="15">
        <v>7</v>
      </c>
      <c r="D24" s="14" t="s">
        <v>4</v>
      </c>
      <c r="E24" s="35"/>
      <c r="F24" s="34"/>
      <c r="G24" s="34"/>
      <c r="H24" s="34">
        <f>F24-G24</f>
        <v>0</v>
      </c>
    </row>
    <row r="25" spans="3:8" s="3" customFormat="1" ht="41.25">
      <c r="C25" s="11"/>
      <c r="D25" s="4" t="s">
        <v>5</v>
      </c>
      <c r="E25" s="32">
        <f>SUM(E18:E24)</f>
        <v>106148.72000000002</v>
      </c>
      <c r="F25" s="32">
        <f>SUM(F18:F24)</f>
        <v>582993.05</v>
      </c>
      <c r="G25" s="32">
        <f>SUM(G18:G24)</f>
        <v>500254.55000000005</v>
      </c>
      <c r="H25" s="32">
        <f>SUM(H18:H24)</f>
        <v>188887.21999999997</v>
      </c>
    </row>
    <row r="26" spans="3:8" s="3" customFormat="1" ht="41.25">
      <c r="C26" s="11"/>
      <c r="D26" s="4" t="s">
        <v>6</v>
      </c>
      <c r="E26" s="32">
        <f>E16+E25</f>
        <v>125139.68000000002</v>
      </c>
      <c r="F26" s="32">
        <f>F16+F25</f>
        <v>696575.6200000001</v>
      </c>
      <c r="G26" s="32">
        <f>G16+G25</f>
        <v>598782.6000000001</v>
      </c>
      <c r="H26" s="32">
        <f>H16+H25</f>
        <v>222932.69999999995</v>
      </c>
    </row>
    <row r="27" spans="3:9" s="3" customFormat="1" ht="21">
      <c r="C27" s="16"/>
      <c r="D27" s="17"/>
      <c r="E27" s="17"/>
      <c r="F27" s="18"/>
      <c r="G27" s="18"/>
      <c r="H27" s="18"/>
      <c r="I27" s="42"/>
    </row>
    <row r="28" spans="3:8" s="3" customFormat="1" ht="21">
      <c r="C28" s="16"/>
      <c r="D28" s="17"/>
      <c r="E28" s="17"/>
      <c r="F28" s="18"/>
      <c r="G28" s="18"/>
      <c r="H28" s="18"/>
    </row>
    <row r="29" spans="7:8" s="3" customFormat="1" ht="21">
      <c r="G29" s="8"/>
      <c r="H29" s="8" t="s">
        <v>22</v>
      </c>
    </row>
    <row r="30" spans="3:8" s="3" customFormat="1" ht="25.5">
      <c r="C30" s="148" t="s">
        <v>259</v>
      </c>
      <c r="D30" s="149"/>
      <c r="E30" s="149"/>
      <c r="F30" s="149"/>
      <c r="G30" s="149"/>
      <c r="H30" s="150"/>
    </row>
    <row r="31" spans="3:8" s="3" customFormat="1" ht="42">
      <c r="C31" s="151" t="s">
        <v>260</v>
      </c>
      <c r="D31" s="152"/>
      <c r="E31" s="152"/>
      <c r="F31" s="153"/>
      <c r="G31" s="49" t="s">
        <v>23</v>
      </c>
      <c r="H31" s="62" t="s">
        <v>232</v>
      </c>
    </row>
    <row r="32" spans="3:8" s="3" customFormat="1" ht="188.25" customHeight="1">
      <c r="C32" s="178" t="s">
        <v>265</v>
      </c>
      <c r="D32" s="179"/>
      <c r="E32" s="179"/>
      <c r="F32" s="180"/>
      <c r="G32" s="65">
        <f>F14</f>
        <v>87890.33</v>
      </c>
      <c r="H32" s="65">
        <f>H14</f>
        <v>26345.78</v>
      </c>
    </row>
    <row r="33" spans="3:8" s="3" customFormat="1" ht="25.5">
      <c r="C33" s="148" t="s">
        <v>258</v>
      </c>
      <c r="D33" s="149"/>
      <c r="E33" s="149"/>
      <c r="F33" s="149"/>
      <c r="G33" s="149"/>
      <c r="H33" s="150"/>
    </row>
    <row r="34" spans="3:8" s="3" customFormat="1" ht="63">
      <c r="C34" s="181" t="s">
        <v>261</v>
      </c>
      <c r="D34" s="182"/>
      <c r="E34" s="164" t="s">
        <v>260</v>
      </c>
      <c r="F34" s="165"/>
      <c r="G34" s="166"/>
      <c r="H34" s="111" t="s">
        <v>262</v>
      </c>
    </row>
    <row r="35" spans="3:8" s="3" customFormat="1" ht="21">
      <c r="C35" s="136"/>
      <c r="D35" s="131">
        <v>6450.81</v>
      </c>
      <c r="E35" s="195" t="s">
        <v>159</v>
      </c>
      <c r="F35" s="224"/>
      <c r="G35" s="35">
        <v>485</v>
      </c>
      <c r="H35" s="31"/>
    </row>
    <row r="36" spans="3:8" s="3" customFormat="1" ht="21">
      <c r="C36" s="129"/>
      <c r="D36" s="132"/>
      <c r="E36" s="195" t="s">
        <v>160</v>
      </c>
      <c r="F36" s="224"/>
      <c r="G36" s="35">
        <v>485</v>
      </c>
      <c r="H36" s="31"/>
    </row>
    <row r="37" spans="3:8" s="3" customFormat="1" ht="21">
      <c r="C37" s="129"/>
      <c r="D37" s="132"/>
      <c r="E37" s="195" t="s">
        <v>161</v>
      </c>
      <c r="F37" s="224"/>
      <c r="G37" s="35">
        <v>485</v>
      </c>
      <c r="H37" s="31"/>
    </row>
    <row r="38" spans="3:8" s="3" customFormat="1" ht="21">
      <c r="C38" s="129"/>
      <c r="D38" s="132"/>
      <c r="E38" s="195" t="s">
        <v>93</v>
      </c>
      <c r="F38" s="224"/>
      <c r="G38" s="35">
        <v>175.57</v>
      </c>
      <c r="H38" s="31"/>
    </row>
    <row r="39" spans="3:8" s="3" customFormat="1" ht="21">
      <c r="C39" s="129"/>
      <c r="D39" s="132"/>
      <c r="E39" s="195" t="s">
        <v>151</v>
      </c>
      <c r="F39" s="224"/>
      <c r="G39" s="35">
        <v>413.07</v>
      </c>
      <c r="H39" s="31"/>
    </row>
    <row r="40" spans="3:8" s="3" customFormat="1" ht="21">
      <c r="C40" s="129"/>
      <c r="D40" s="133"/>
      <c r="E40" s="192" t="s">
        <v>229</v>
      </c>
      <c r="F40" s="193"/>
      <c r="G40" s="36">
        <f>SUM(G35:G39)</f>
        <v>2043.6399999999999</v>
      </c>
      <c r="H40" s="37">
        <f>G15-G40</f>
        <v>20203.190000000002</v>
      </c>
    </row>
    <row r="41" spans="3:8" s="3" customFormat="1" ht="21">
      <c r="C41" s="130"/>
      <c r="D41" s="134"/>
      <c r="E41" s="192" t="s">
        <v>230</v>
      </c>
      <c r="F41" s="193"/>
      <c r="G41" s="36"/>
      <c r="H41" s="37">
        <f>H40+D35</f>
        <v>26654.000000000004</v>
      </c>
    </row>
    <row r="42" spans="3:8" s="3" customFormat="1" ht="21">
      <c r="C42" s="135">
        <v>3</v>
      </c>
      <c r="D42" s="126" t="s">
        <v>24</v>
      </c>
      <c r="E42" s="4"/>
      <c r="F42" s="22" t="s">
        <v>206</v>
      </c>
      <c r="G42" s="19"/>
      <c r="H42" s="11"/>
    </row>
    <row r="43" spans="3:8" s="3" customFormat="1" ht="21">
      <c r="C43" s="201"/>
      <c r="D43" s="204"/>
      <c r="E43" s="26"/>
      <c r="F43" s="24" t="s">
        <v>213</v>
      </c>
      <c r="G43" s="19"/>
      <c r="H43" s="11"/>
    </row>
    <row r="44" spans="3:8" s="3" customFormat="1" ht="21">
      <c r="C44" s="202"/>
      <c r="D44" s="202"/>
      <c r="E44" s="27"/>
      <c r="F44" s="24" t="s">
        <v>225</v>
      </c>
      <c r="G44" s="19"/>
      <c r="H44" s="11"/>
    </row>
    <row r="45" spans="3:8" s="3" customFormat="1" ht="21">
      <c r="C45" s="202"/>
      <c r="D45" s="202"/>
      <c r="E45" s="27"/>
      <c r="F45" s="24" t="s">
        <v>205</v>
      </c>
      <c r="G45" s="19"/>
      <c r="H45" s="11"/>
    </row>
    <row r="46" spans="3:8" s="3" customFormat="1" ht="21">
      <c r="C46" s="203"/>
      <c r="D46" s="203"/>
      <c r="E46" s="28"/>
      <c r="F46" s="25" t="s">
        <v>238</v>
      </c>
      <c r="G46" s="19"/>
      <c r="H46" s="11"/>
    </row>
    <row r="49" spans="4:5" ht="26.25">
      <c r="D49" s="1"/>
      <c r="E49" s="1"/>
    </row>
    <row r="50" spans="4:5" ht="26.25">
      <c r="D50" s="1"/>
      <c r="E50" s="1"/>
    </row>
  </sheetData>
  <sheetProtection/>
  <mergeCells count="17">
    <mergeCell ref="C13:H13"/>
    <mergeCell ref="C17:H17"/>
    <mergeCell ref="C43:C46"/>
    <mergeCell ref="D43:D46"/>
    <mergeCell ref="E37:F37"/>
    <mergeCell ref="E36:F36"/>
    <mergeCell ref="C30:H30"/>
    <mergeCell ref="C31:F31"/>
    <mergeCell ref="C32:F32"/>
    <mergeCell ref="C33:H33"/>
    <mergeCell ref="E39:F39"/>
    <mergeCell ref="E40:F40"/>
    <mergeCell ref="E41:F41"/>
    <mergeCell ref="C34:D34"/>
    <mergeCell ref="E34:G34"/>
    <mergeCell ref="E35:F35"/>
    <mergeCell ref="E38:F38"/>
  </mergeCells>
  <printOptions/>
  <pageMargins left="0.25" right="0.25" top="0.75" bottom="0.75" header="0.3" footer="0.3"/>
  <pageSetup horizontalDpi="600" verticalDpi="600" orientation="landscape" paperSize="9" scale="52" r:id="rId2"/>
  <rowBreaks count="1" manualBreakCount="1">
    <brk id="32" min="2" max="7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C1:I52"/>
  <sheetViews>
    <sheetView view="pageBreakPreview" zoomScale="73" zoomScaleSheetLayoutView="73" zoomScalePageLayoutView="0" workbookViewId="0" topLeftCell="C37">
      <selection activeCell="D51" sqref="D51:F54"/>
    </sheetView>
  </sheetViews>
  <sheetFormatPr defaultColWidth="9.140625" defaultRowHeight="15"/>
  <cols>
    <col min="1" max="2" width="9.140625" style="45" customWidth="1"/>
    <col min="3" max="3" width="9.00390625" style="45" customWidth="1"/>
    <col min="4" max="5" width="40.421875" style="45" customWidth="1"/>
    <col min="6" max="6" width="48.57421875" style="45" customWidth="1"/>
    <col min="7" max="7" width="34.140625" style="45" customWidth="1"/>
    <col min="8" max="8" width="30.7109375" style="45" customWidth="1"/>
    <col min="9" max="9" width="23.28125" style="45" customWidth="1"/>
    <col min="10" max="16384" width="9.140625" style="45" customWidth="1"/>
  </cols>
  <sheetData>
    <row r="1" spans="4:7" s="43" customFormat="1" ht="28.5">
      <c r="D1" s="44" t="s">
        <v>26</v>
      </c>
      <c r="E1" s="44"/>
      <c r="F1" s="44"/>
      <c r="G1" s="44"/>
    </row>
    <row r="2" spans="4:7" s="43" customFormat="1" ht="28.5">
      <c r="D2" s="44" t="s">
        <v>27</v>
      </c>
      <c r="E2" s="44"/>
      <c r="F2" s="44"/>
      <c r="G2" s="44"/>
    </row>
    <row r="3" spans="4:8" ht="18.75">
      <c r="D3" s="46" t="s">
        <v>28</v>
      </c>
      <c r="E3" s="46"/>
      <c r="F3" s="46"/>
      <c r="G3" s="46"/>
      <c r="H3" s="47"/>
    </row>
    <row r="4" spans="4:8" ht="18.75">
      <c r="D4" s="46" t="s">
        <v>29</v>
      </c>
      <c r="E4" s="46"/>
      <c r="F4" s="46"/>
      <c r="G4" s="46"/>
      <c r="H4" s="47"/>
    </row>
    <row r="5" spans="4:8" ht="15">
      <c r="D5" s="47"/>
      <c r="E5" s="47"/>
      <c r="F5" s="47"/>
      <c r="G5" s="47"/>
      <c r="H5" s="47"/>
    </row>
    <row r="6" spans="4:7" s="48" customFormat="1" ht="26.25">
      <c r="D6" s="43" t="s">
        <v>30</v>
      </c>
      <c r="E6" s="43"/>
      <c r="F6" s="43"/>
      <c r="G6" s="43"/>
    </row>
    <row r="7" spans="4:7" s="48" customFormat="1" ht="26.25">
      <c r="D7" s="43" t="s">
        <v>86</v>
      </c>
      <c r="E7" s="43"/>
      <c r="F7" s="43"/>
      <c r="G7" s="43"/>
    </row>
    <row r="8" spans="4:7" s="48" customFormat="1" ht="26.25">
      <c r="D8" s="43" t="s">
        <v>90</v>
      </c>
      <c r="E8" s="43"/>
      <c r="F8" s="43"/>
      <c r="G8" s="43"/>
    </row>
    <row r="9" spans="4:8" ht="15">
      <c r="D9" s="47"/>
      <c r="E9" s="47"/>
      <c r="F9" s="47"/>
      <c r="G9" s="47"/>
      <c r="H9" s="47"/>
    </row>
    <row r="10" spans="3:8" ht="21">
      <c r="C10" s="48" t="s">
        <v>8</v>
      </c>
      <c r="D10" s="47"/>
      <c r="E10" s="47"/>
      <c r="F10" s="47"/>
      <c r="G10" s="47"/>
      <c r="H10" s="47"/>
    </row>
    <row r="11" s="48" customFormat="1" ht="34.5" customHeight="1">
      <c r="H11" s="61" t="s">
        <v>20</v>
      </c>
    </row>
    <row r="12" spans="3:8" s="50" customFormat="1" ht="40.5">
      <c r="C12" s="49" t="s">
        <v>13</v>
      </c>
      <c r="D12" s="49" t="s">
        <v>14</v>
      </c>
      <c r="E12" s="49" t="s">
        <v>172</v>
      </c>
      <c r="F12" s="49" t="s">
        <v>15</v>
      </c>
      <c r="G12" s="49" t="s">
        <v>16</v>
      </c>
      <c r="H12" s="49" t="s">
        <v>11</v>
      </c>
    </row>
    <row r="13" spans="3:8" s="48" customFormat="1" ht="21">
      <c r="C13" s="145" t="s">
        <v>17</v>
      </c>
      <c r="D13" s="146"/>
      <c r="E13" s="146"/>
      <c r="F13" s="146"/>
      <c r="G13" s="146"/>
      <c r="H13" s="147"/>
    </row>
    <row r="14" spans="3:8" s="48" customFormat="1" ht="21">
      <c r="C14" s="15">
        <v>1</v>
      </c>
      <c r="D14" s="15" t="s">
        <v>18</v>
      </c>
      <c r="E14" s="51">
        <v>3167.97</v>
      </c>
      <c r="F14" s="51">
        <f>23133.24-1336.97</f>
        <v>21796.27</v>
      </c>
      <c r="G14" s="51">
        <v>21360.85</v>
      </c>
      <c r="H14" s="51">
        <f>E14+F14-G14</f>
        <v>3603.390000000003</v>
      </c>
    </row>
    <row r="15" spans="3:8" s="48" customFormat="1" ht="21">
      <c r="C15" s="15">
        <v>2</v>
      </c>
      <c r="D15" s="15" t="s">
        <v>19</v>
      </c>
      <c r="E15" s="51">
        <v>1494.34</v>
      </c>
      <c r="F15" s="51">
        <f>10912.08-630.65</f>
        <v>10281.43</v>
      </c>
      <c r="G15" s="51">
        <v>10076.03</v>
      </c>
      <c r="H15" s="51">
        <f>E15+F15-G15</f>
        <v>1699.7399999999998</v>
      </c>
    </row>
    <row r="16" spans="3:8" s="48" customFormat="1" ht="42">
      <c r="C16" s="15">
        <v>3</v>
      </c>
      <c r="D16" s="82" t="s">
        <v>186</v>
      </c>
      <c r="E16" s="51">
        <v>0</v>
      </c>
      <c r="F16" s="51">
        <v>3840</v>
      </c>
      <c r="G16" s="51">
        <v>3436.96</v>
      </c>
      <c r="H16" s="51">
        <f>E16+F16-G16</f>
        <v>403.03999999999996</v>
      </c>
    </row>
    <row r="17" spans="3:8" s="48" customFormat="1" ht="41.25">
      <c r="C17" s="15"/>
      <c r="D17" s="52" t="s">
        <v>0</v>
      </c>
      <c r="E17" s="53">
        <f>SUM(E14:E16)</f>
        <v>4662.3099999999995</v>
      </c>
      <c r="F17" s="53">
        <f>SUM(F14:F16)</f>
        <v>35917.7</v>
      </c>
      <c r="G17" s="53">
        <f>SUM(G14:G16)</f>
        <v>34873.84</v>
      </c>
      <c r="H17" s="53">
        <f>SUM(H14:H16)</f>
        <v>5706.170000000003</v>
      </c>
    </row>
    <row r="18" spans="3:8" s="48" customFormat="1" ht="21">
      <c r="C18" s="145" t="s">
        <v>21</v>
      </c>
      <c r="D18" s="146"/>
      <c r="E18" s="146"/>
      <c r="F18" s="146"/>
      <c r="G18" s="146"/>
      <c r="H18" s="147"/>
    </row>
    <row r="19" spans="3:8" s="48" customFormat="1" ht="21" hidden="1">
      <c r="C19" s="15">
        <v>3</v>
      </c>
      <c r="D19" s="15" t="s">
        <v>1</v>
      </c>
      <c r="E19" s="15"/>
      <c r="F19" s="104"/>
      <c r="G19" s="104"/>
      <c r="H19" s="105">
        <f>F19-G19</f>
        <v>0</v>
      </c>
    </row>
    <row r="20" spans="3:8" s="48" customFormat="1" ht="21">
      <c r="C20" s="15">
        <v>4</v>
      </c>
      <c r="D20" s="15" t="s">
        <v>4</v>
      </c>
      <c r="E20" s="51">
        <v>1789.05</v>
      </c>
      <c r="F20" s="55">
        <v>26019.88</v>
      </c>
      <c r="G20" s="55">
        <v>23096.86</v>
      </c>
      <c r="H20" s="55">
        <f>E20+F20-G20</f>
        <v>4712.07</v>
      </c>
    </row>
    <row r="21" spans="3:8" s="48" customFormat="1" ht="21">
      <c r="C21" s="15">
        <v>5</v>
      </c>
      <c r="D21" s="56" t="s">
        <v>2</v>
      </c>
      <c r="E21" s="57">
        <v>2498.61</v>
      </c>
      <c r="F21" s="55">
        <f>16001.35-1434.18</f>
        <v>14567.17</v>
      </c>
      <c r="G21" s="55">
        <v>14993.81</v>
      </c>
      <c r="H21" s="55">
        <f>E21+F21-G21</f>
        <v>2071.9699999999993</v>
      </c>
    </row>
    <row r="22" spans="3:8" s="48" customFormat="1" ht="21">
      <c r="C22" s="15">
        <v>6</v>
      </c>
      <c r="D22" s="56" t="s">
        <v>3</v>
      </c>
      <c r="E22" s="57">
        <v>1397.33</v>
      </c>
      <c r="F22" s="55">
        <f>-3718.2-788.44</f>
        <v>-4506.639999999999</v>
      </c>
      <c r="G22" s="55">
        <v>9168.95</v>
      </c>
      <c r="H22" s="55">
        <f>E22+F22-G22</f>
        <v>-12278.26</v>
      </c>
    </row>
    <row r="23" spans="3:8" s="48" customFormat="1" ht="21">
      <c r="C23" s="15">
        <v>7</v>
      </c>
      <c r="D23" s="56" t="s">
        <v>188</v>
      </c>
      <c r="E23" s="57"/>
      <c r="F23" s="55">
        <v>963.23</v>
      </c>
      <c r="G23" s="55">
        <v>13.61</v>
      </c>
      <c r="H23" s="55">
        <f>E23+F23-G23</f>
        <v>949.62</v>
      </c>
    </row>
    <row r="24" spans="3:8" s="48" customFormat="1" ht="21" hidden="1">
      <c r="C24" s="15">
        <v>7</v>
      </c>
      <c r="D24" s="56" t="s">
        <v>4</v>
      </c>
      <c r="E24" s="57"/>
      <c r="F24" s="55"/>
      <c r="G24" s="55"/>
      <c r="H24" s="55">
        <f>F24-G24</f>
        <v>0</v>
      </c>
    </row>
    <row r="25" spans="3:8" s="48" customFormat="1" ht="41.25">
      <c r="C25" s="15"/>
      <c r="D25" s="52" t="s">
        <v>5</v>
      </c>
      <c r="E25" s="53">
        <f>SUM(E20:E24)</f>
        <v>5684.99</v>
      </c>
      <c r="F25" s="53">
        <f>SUM(F20:F24)</f>
        <v>37043.64000000001</v>
      </c>
      <c r="G25" s="53">
        <f>SUM(G20:G24)</f>
        <v>47273.229999999996</v>
      </c>
      <c r="H25" s="53">
        <f>SUM(H20:H24)</f>
        <v>-4544.600000000001</v>
      </c>
    </row>
    <row r="26" spans="3:8" s="48" customFormat="1" ht="41.25">
      <c r="C26" s="15"/>
      <c r="D26" s="52" t="s">
        <v>6</v>
      </c>
      <c r="E26" s="53">
        <f>E17+E25</f>
        <v>10347.3</v>
      </c>
      <c r="F26" s="53">
        <f>F17+F25</f>
        <v>72961.34</v>
      </c>
      <c r="G26" s="53">
        <f>G17+G25</f>
        <v>82147.06999999999</v>
      </c>
      <c r="H26" s="53">
        <f>H17+H25</f>
        <v>1161.5700000000015</v>
      </c>
    </row>
    <row r="27" spans="3:9" s="48" customFormat="1" ht="21">
      <c r="C27" s="58"/>
      <c r="D27" s="59"/>
      <c r="E27" s="59"/>
      <c r="F27" s="60"/>
      <c r="G27" s="60"/>
      <c r="H27" s="60"/>
      <c r="I27" s="94"/>
    </row>
    <row r="28" spans="3:8" s="48" customFormat="1" ht="21">
      <c r="C28" s="58"/>
      <c r="D28" s="59"/>
      <c r="E28" s="59"/>
      <c r="F28" s="60"/>
      <c r="G28" s="60"/>
      <c r="H28" s="60"/>
    </row>
    <row r="29" spans="7:8" s="48" customFormat="1" ht="21">
      <c r="G29" s="61"/>
      <c r="H29" s="61" t="s">
        <v>22</v>
      </c>
    </row>
    <row r="30" spans="3:8" s="48" customFormat="1" ht="25.5">
      <c r="C30" s="148" t="s">
        <v>259</v>
      </c>
      <c r="D30" s="149"/>
      <c r="E30" s="149"/>
      <c r="F30" s="149"/>
      <c r="G30" s="149"/>
      <c r="H30" s="150"/>
    </row>
    <row r="31" spans="3:8" s="48" customFormat="1" ht="63">
      <c r="C31" s="151" t="s">
        <v>260</v>
      </c>
      <c r="D31" s="152"/>
      <c r="E31" s="152"/>
      <c r="F31" s="153"/>
      <c r="G31" s="49" t="s">
        <v>23</v>
      </c>
      <c r="H31" s="62" t="s">
        <v>232</v>
      </c>
    </row>
    <row r="32" spans="3:8" s="48" customFormat="1" ht="168" customHeight="1">
      <c r="C32" s="178" t="s">
        <v>265</v>
      </c>
      <c r="D32" s="179"/>
      <c r="E32" s="179"/>
      <c r="F32" s="180"/>
      <c r="G32" s="65">
        <f>F14</f>
        <v>21796.27</v>
      </c>
      <c r="H32" s="65">
        <f>H14</f>
        <v>3603.390000000003</v>
      </c>
    </row>
    <row r="33" spans="3:8" s="48" customFormat="1" ht="25.5">
      <c r="C33" s="148" t="s">
        <v>258</v>
      </c>
      <c r="D33" s="149"/>
      <c r="E33" s="149"/>
      <c r="F33" s="149"/>
      <c r="G33" s="149"/>
      <c r="H33" s="150"/>
    </row>
    <row r="34" spans="3:8" s="48" customFormat="1" ht="63">
      <c r="C34" s="162" t="s">
        <v>261</v>
      </c>
      <c r="D34" s="163"/>
      <c r="E34" s="164" t="s">
        <v>260</v>
      </c>
      <c r="F34" s="165"/>
      <c r="G34" s="166"/>
      <c r="H34" s="111" t="s">
        <v>262</v>
      </c>
    </row>
    <row r="35" spans="3:8" s="48" customFormat="1" ht="21">
      <c r="C35" s="122"/>
      <c r="D35" s="140">
        <v>3052.36</v>
      </c>
      <c r="E35" s="186" t="s">
        <v>168</v>
      </c>
      <c r="F35" s="168"/>
      <c r="G35" s="106">
        <v>573.17</v>
      </c>
      <c r="H35" s="102"/>
    </row>
    <row r="36" spans="3:8" s="48" customFormat="1" ht="21">
      <c r="C36" s="118"/>
      <c r="D36" s="118"/>
      <c r="E36" s="185" t="s">
        <v>229</v>
      </c>
      <c r="F36" s="170"/>
      <c r="G36" s="107">
        <f>SUM(G35:G35)</f>
        <v>573.17</v>
      </c>
      <c r="H36" s="108">
        <f>G15-G36</f>
        <v>9502.86</v>
      </c>
    </row>
    <row r="37" spans="3:8" s="48" customFormat="1" ht="21">
      <c r="C37" s="118"/>
      <c r="D37" s="118"/>
      <c r="E37" s="187" t="s">
        <v>230</v>
      </c>
      <c r="F37" s="184"/>
      <c r="G37" s="107"/>
      <c r="H37" s="108">
        <f>H36+D35</f>
        <v>12555.220000000001</v>
      </c>
    </row>
    <row r="38" spans="3:8" s="48" customFormat="1" ht="21">
      <c r="C38" s="72"/>
      <c r="D38" s="72"/>
      <c r="E38" s="114"/>
      <c r="F38" s="73"/>
      <c r="G38" s="109"/>
      <c r="H38" s="110"/>
    </row>
    <row r="39" spans="3:8" s="48" customFormat="1" ht="21">
      <c r="C39" s="116">
        <v>3</v>
      </c>
      <c r="D39" s="115" t="s">
        <v>24</v>
      </c>
      <c r="E39" s="52"/>
      <c r="F39" s="76"/>
      <c r="G39" s="66"/>
      <c r="H39" s="15"/>
    </row>
    <row r="40" spans="3:8" s="48" customFormat="1" ht="21">
      <c r="C40" s="190"/>
      <c r="D40" s="191"/>
      <c r="E40" s="90"/>
      <c r="F40" s="103"/>
      <c r="G40" s="66"/>
      <c r="H40" s="15"/>
    </row>
    <row r="41" spans="3:8" s="48" customFormat="1" ht="21">
      <c r="C41" s="191"/>
      <c r="D41" s="191"/>
      <c r="E41" s="90"/>
      <c r="F41" s="86"/>
      <c r="G41" s="66"/>
      <c r="H41" s="15"/>
    </row>
    <row r="42" spans="3:8" s="48" customFormat="1" ht="21">
      <c r="C42" s="191"/>
      <c r="D42" s="191"/>
      <c r="E42" s="90"/>
      <c r="F42" s="92"/>
      <c r="G42" s="66"/>
      <c r="H42" s="15"/>
    </row>
    <row r="43" spans="3:8" s="48" customFormat="1" ht="21">
      <c r="C43" s="191"/>
      <c r="D43" s="191"/>
      <c r="E43" s="90"/>
      <c r="F43" s="86"/>
      <c r="G43" s="66"/>
      <c r="H43" s="15"/>
    </row>
    <row r="44" spans="3:8" s="48" customFormat="1" ht="21">
      <c r="C44" s="191"/>
      <c r="D44" s="191"/>
      <c r="E44" s="90"/>
      <c r="F44" s="86"/>
      <c r="G44" s="66"/>
      <c r="H44" s="15"/>
    </row>
    <row r="45" spans="3:8" s="48" customFormat="1" ht="21">
      <c r="C45" s="96"/>
      <c r="D45" s="96"/>
      <c r="E45" s="96"/>
      <c r="F45" s="97"/>
      <c r="G45" s="93"/>
      <c r="H45" s="58"/>
    </row>
    <row r="46" spans="3:9" s="81" customFormat="1" ht="21">
      <c r="C46" s="96"/>
      <c r="D46" s="96"/>
      <c r="E46" s="96"/>
      <c r="F46" s="97"/>
      <c r="G46" s="93"/>
      <c r="H46" s="58"/>
      <c r="I46" s="61" t="s">
        <v>52</v>
      </c>
    </row>
    <row r="47" spans="3:9" s="79" customFormat="1" ht="61.5">
      <c r="C47" s="49" t="s">
        <v>13</v>
      </c>
      <c r="D47" s="49" t="s">
        <v>55</v>
      </c>
      <c r="E47" s="49" t="s">
        <v>53</v>
      </c>
      <c r="F47" s="49" t="s">
        <v>189</v>
      </c>
      <c r="G47" s="49" t="s">
        <v>190</v>
      </c>
      <c r="H47" s="49" t="s">
        <v>185</v>
      </c>
      <c r="I47" s="78" t="s">
        <v>54</v>
      </c>
    </row>
    <row r="48" spans="3:9" ht="21">
      <c r="C48" s="15">
        <v>1</v>
      </c>
      <c r="D48" s="15" t="s">
        <v>191</v>
      </c>
      <c r="E48" s="51">
        <v>236660</v>
      </c>
      <c r="F48" s="51">
        <v>34389.6</v>
      </c>
      <c r="G48" s="51">
        <v>23313.66</v>
      </c>
      <c r="H48" s="51">
        <f>F48-G48</f>
        <v>11075.939999999999</v>
      </c>
      <c r="I48" s="51">
        <f>E48-F48</f>
        <v>202270.4</v>
      </c>
    </row>
    <row r="49" spans="3:9" ht="21">
      <c r="C49" s="15"/>
      <c r="D49" s="15"/>
      <c r="E49" s="15"/>
      <c r="F49" s="15"/>
      <c r="G49" s="95"/>
      <c r="H49" s="15"/>
      <c r="I49" s="15"/>
    </row>
    <row r="51" spans="4:5" ht="26.25">
      <c r="D51" s="43"/>
      <c r="E51" s="43"/>
    </row>
    <row r="52" spans="4:5" ht="26.25">
      <c r="D52" s="43"/>
      <c r="E52" s="43"/>
    </row>
  </sheetData>
  <sheetProtection/>
  <mergeCells count="13">
    <mergeCell ref="C40:C44"/>
    <mergeCell ref="D40:D44"/>
    <mergeCell ref="E36:F36"/>
    <mergeCell ref="E37:F37"/>
    <mergeCell ref="C34:D34"/>
    <mergeCell ref="E34:G34"/>
    <mergeCell ref="E35:F35"/>
    <mergeCell ref="C13:H13"/>
    <mergeCell ref="C18:H18"/>
    <mergeCell ref="C30:H30"/>
    <mergeCell ref="C31:F31"/>
    <mergeCell ref="C32:F32"/>
    <mergeCell ref="C33:H33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52" r:id="rId2"/>
  <rowBreaks count="1" manualBreakCount="1">
    <brk id="32" min="2" max="9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C1:H48"/>
  <sheetViews>
    <sheetView view="pageBreakPreview" zoomScale="73" zoomScaleSheetLayoutView="73" zoomScalePageLayoutView="0" workbookViewId="0" topLeftCell="B40">
      <selection activeCell="C47" sqref="C47:E48"/>
    </sheetView>
  </sheetViews>
  <sheetFormatPr defaultColWidth="9.140625" defaultRowHeight="15"/>
  <cols>
    <col min="3" max="3" width="9.00390625" style="0" customWidth="1"/>
    <col min="4" max="5" width="40.421875" style="0" customWidth="1"/>
    <col min="6" max="6" width="48.57421875" style="0" customWidth="1"/>
    <col min="7" max="7" width="34.140625" style="0" customWidth="1"/>
    <col min="8" max="8" width="30.140625" style="0" customWidth="1"/>
  </cols>
  <sheetData>
    <row r="1" spans="4:7" s="1" customFormat="1" ht="28.5">
      <c r="D1" s="21" t="s">
        <v>26</v>
      </c>
      <c r="E1" s="21"/>
      <c r="F1" s="21"/>
      <c r="G1" s="21"/>
    </row>
    <row r="2" spans="4:7" s="1" customFormat="1" ht="28.5">
      <c r="D2" s="21" t="s">
        <v>27</v>
      </c>
      <c r="E2" s="21"/>
      <c r="F2" s="21"/>
      <c r="G2" s="21"/>
    </row>
    <row r="3" spans="4:8" ht="18.75">
      <c r="D3" s="2" t="s">
        <v>28</v>
      </c>
      <c r="E3" s="2"/>
      <c r="F3" s="2"/>
      <c r="G3" s="2"/>
      <c r="H3" s="7"/>
    </row>
    <row r="4" spans="4:8" ht="18.75">
      <c r="D4" s="2" t="s">
        <v>29</v>
      </c>
      <c r="E4" s="2"/>
      <c r="F4" s="2"/>
      <c r="G4" s="2"/>
      <c r="H4" s="7"/>
    </row>
    <row r="5" spans="4:8" ht="15">
      <c r="D5" s="7"/>
      <c r="E5" s="7"/>
      <c r="F5" s="7"/>
      <c r="G5" s="7"/>
      <c r="H5" s="7"/>
    </row>
    <row r="6" spans="4:7" s="3" customFormat="1" ht="26.25">
      <c r="D6" s="1" t="s">
        <v>30</v>
      </c>
      <c r="E6" s="1"/>
      <c r="F6" s="1"/>
      <c r="G6" s="1"/>
    </row>
    <row r="7" spans="4:7" s="3" customFormat="1" ht="26.25">
      <c r="D7" s="1" t="s">
        <v>88</v>
      </c>
      <c r="E7" s="1"/>
      <c r="F7" s="1"/>
      <c r="G7" s="1"/>
    </row>
    <row r="8" spans="4:7" s="3" customFormat="1" ht="26.25">
      <c r="D8" s="1" t="s">
        <v>90</v>
      </c>
      <c r="E8" s="1"/>
      <c r="F8" s="1"/>
      <c r="G8" s="1"/>
    </row>
    <row r="9" spans="4:8" ht="15">
      <c r="D9" s="7"/>
      <c r="E9" s="7"/>
      <c r="F9" s="7"/>
      <c r="G9" s="7"/>
      <c r="H9" s="7"/>
    </row>
    <row r="10" spans="3:8" ht="21">
      <c r="C10" s="3" t="s">
        <v>89</v>
      </c>
      <c r="D10" s="7"/>
      <c r="E10" s="7"/>
      <c r="F10" s="7"/>
      <c r="G10" s="7"/>
      <c r="H10" s="7"/>
    </row>
    <row r="11" s="3" customFormat="1" ht="34.5" customHeight="1">
      <c r="H11" s="8" t="s">
        <v>20</v>
      </c>
    </row>
    <row r="12" spans="3:8" s="10" customFormat="1" ht="40.5">
      <c r="C12" s="9" t="s">
        <v>13</v>
      </c>
      <c r="D12" s="9" t="s">
        <v>14</v>
      </c>
      <c r="E12" s="9" t="s">
        <v>172</v>
      </c>
      <c r="F12" s="9" t="s">
        <v>15</v>
      </c>
      <c r="G12" s="9" t="s">
        <v>16</v>
      </c>
      <c r="H12" s="9" t="s">
        <v>11</v>
      </c>
    </row>
    <row r="13" spans="3:8" s="3" customFormat="1" ht="21">
      <c r="C13" s="198" t="s">
        <v>17</v>
      </c>
      <c r="D13" s="199"/>
      <c r="E13" s="199"/>
      <c r="F13" s="199"/>
      <c r="G13" s="199"/>
      <c r="H13" s="200"/>
    </row>
    <row r="14" spans="3:8" s="3" customFormat="1" ht="21">
      <c r="C14" s="11">
        <v>1</v>
      </c>
      <c r="D14" s="11" t="s">
        <v>18</v>
      </c>
      <c r="E14" s="31">
        <v>8314.94</v>
      </c>
      <c r="F14" s="31">
        <v>53974.2</v>
      </c>
      <c r="G14" s="31">
        <f>44996.47-247.24</f>
        <v>44749.23</v>
      </c>
      <c r="H14" s="31">
        <f>E14+F14-G14</f>
        <v>17539.909999999996</v>
      </c>
    </row>
    <row r="15" spans="3:8" s="3" customFormat="1" ht="21">
      <c r="C15" s="11">
        <v>2</v>
      </c>
      <c r="D15" s="11" t="s">
        <v>19</v>
      </c>
      <c r="E15" s="31">
        <v>3821.24</v>
      </c>
      <c r="F15" s="31">
        <v>17793.48</v>
      </c>
      <c r="G15" s="31">
        <f>22104.43-113.62</f>
        <v>21990.81</v>
      </c>
      <c r="H15" s="31">
        <f>E15+F15-G15</f>
        <v>-376.09000000000015</v>
      </c>
    </row>
    <row r="16" spans="3:8" s="3" customFormat="1" ht="42">
      <c r="C16" s="11">
        <v>3</v>
      </c>
      <c r="D16" s="29" t="s">
        <v>186</v>
      </c>
      <c r="E16" s="31"/>
      <c r="F16" s="31">
        <f>9921.72+1061.18</f>
        <v>10982.9</v>
      </c>
      <c r="G16" s="31">
        <v>8049</v>
      </c>
      <c r="H16" s="31">
        <f>E16+F16-G16</f>
        <v>2933.8999999999996</v>
      </c>
    </row>
    <row r="17" spans="3:8" s="3" customFormat="1" ht="41.25">
      <c r="C17" s="11"/>
      <c r="D17" s="4" t="s">
        <v>0</v>
      </c>
      <c r="E17" s="32">
        <f>SUM(E14:E16)</f>
        <v>12136.18</v>
      </c>
      <c r="F17" s="32">
        <f>SUM(F14:F16)</f>
        <v>82750.57999999999</v>
      </c>
      <c r="G17" s="32">
        <f>SUM(G14:G16)</f>
        <v>74789.04000000001</v>
      </c>
      <c r="H17" s="32">
        <f>SUM(H14:H16)</f>
        <v>20097.719999999994</v>
      </c>
    </row>
    <row r="18" spans="3:8" s="3" customFormat="1" ht="21">
      <c r="C18" s="198" t="s">
        <v>21</v>
      </c>
      <c r="D18" s="199"/>
      <c r="E18" s="199"/>
      <c r="F18" s="199"/>
      <c r="G18" s="199"/>
      <c r="H18" s="200"/>
    </row>
    <row r="19" spans="3:8" s="3" customFormat="1" ht="21" hidden="1">
      <c r="C19" s="11">
        <v>3</v>
      </c>
      <c r="D19" s="11" t="s">
        <v>1</v>
      </c>
      <c r="E19" s="11"/>
      <c r="F19" s="12"/>
      <c r="G19" s="12"/>
      <c r="H19" s="13">
        <f>F19-G19</f>
        <v>0</v>
      </c>
    </row>
    <row r="20" spans="3:8" s="3" customFormat="1" ht="21">
      <c r="C20" s="11">
        <v>4</v>
      </c>
      <c r="D20" s="11" t="s">
        <v>4</v>
      </c>
      <c r="E20" s="31">
        <v>6267.03</v>
      </c>
      <c r="F20" s="34">
        <v>60156.81</v>
      </c>
      <c r="G20" s="34">
        <f>52115.66-1692.71</f>
        <v>50422.950000000004</v>
      </c>
      <c r="H20" s="34">
        <f>E20+F20-G20</f>
        <v>16000.889999999992</v>
      </c>
    </row>
    <row r="21" spans="3:8" s="3" customFormat="1" ht="21">
      <c r="C21" s="11">
        <v>5</v>
      </c>
      <c r="D21" s="14" t="s">
        <v>2</v>
      </c>
      <c r="E21" s="35">
        <v>4122.65</v>
      </c>
      <c r="F21" s="34">
        <v>35081.44</v>
      </c>
      <c r="G21" s="34">
        <f>28445.01-285.71</f>
        <v>28159.3</v>
      </c>
      <c r="H21" s="34">
        <f>E21+F21-G21</f>
        <v>11044.790000000005</v>
      </c>
    </row>
    <row r="22" spans="3:8" s="3" customFormat="1" ht="21">
      <c r="C22" s="15">
        <v>6</v>
      </c>
      <c r="D22" s="14" t="s">
        <v>3</v>
      </c>
      <c r="E22" s="35">
        <v>3520.45</v>
      </c>
      <c r="F22" s="34">
        <v>-12355.96</v>
      </c>
      <c r="G22" s="34">
        <f>21270.91-317.54</f>
        <v>20953.37</v>
      </c>
      <c r="H22" s="34">
        <f>E22+F22-G22</f>
        <v>-29788.879999999997</v>
      </c>
    </row>
    <row r="23" spans="3:8" s="3" customFormat="1" ht="21">
      <c r="C23" s="15">
        <v>7</v>
      </c>
      <c r="D23" s="14" t="s">
        <v>82</v>
      </c>
      <c r="E23" s="35"/>
      <c r="F23" s="34">
        <v>2242.98</v>
      </c>
      <c r="G23" s="34">
        <v>33.53</v>
      </c>
      <c r="H23" s="34">
        <f>E23+F23-G23</f>
        <v>2209.45</v>
      </c>
    </row>
    <row r="24" spans="3:8" s="3" customFormat="1" ht="21" hidden="1">
      <c r="C24" s="15">
        <v>7</v>
      </c>
      <c r="D24" s="14" t="s">
        <v>4</v>
      </c>
      <c r="E24" s="35"/>
      <c r="F24" s="34"/>
      <c r="G24" s="34"/>
      <c r="H24" s="34">
        <f>F24-G24</f>
        <v>0</v>
      </c>
    </row>
    <row r="25" spans="3:8" s="3" customFormat="1" ht="41.25">
      <c r="C25" s="11"/>
      <c r="D25" s="4" t="s">
        <v>5</v>
      </c>
      <c r="E25" s="32">
        <f>SUM(E20:E24)</f>
        <v>13910.130000000001</v>
      </c>
      <c r="F25" s="32">
        <f>SUM(F20:F24)</f>
        <v>85125.27</v>
      </c>
      <c r="G25" s="32">
        <f>SUM(G20:G24)</f>
        <v>99569.15</v>
      </c>
      <c r="H25" s="32">
        <f>SUM(H20:H24)</f>
        <v>-533.7500000000009</v>
      </c>
    </row>
    <row r="26" spans="3:8" s="3" customFormat="1" ht="41.25">
      <c r="C26" s="11"/>
      <c r="D26" s="4" t="s">
        <v>6</v>
      </c>
      <c r="E26" s="32">
        <f>E17+E25</f>
        <v>26046.31</v>
      </c>
      <c r="F26" s="32">
        <f>F17+F25</f>
        <v>167875.84999999998</v>
      </c>
      <c r="G26" s="32">
        <f>G17+G25</f>
        <v>174358.19</v>
      </c>
      <c r="H26" s="32">
        <f>H17+H25</f>
        <v>19563.969999999994</v>
      </c>
    </row>
    <row r="27" spans="3:8" s="3" customFormat="1" ht="21">
      <c r="C27" s="16"/>
      <c r="D27" s="17"/>
      <c r="E27" s="17"/>
      <c r="F27" s="18"/>
      <c r="G27" s="18"/>
      <c r="H27" s="18"/>
    </row>
    <row r="28" spans="3:8" s="3" customFormat="1" ht="21">
      <c r="C28" s="16"/>
      <c r="D28" s="17"/>
      <c r="E28" s="17"/>
      <c r="F28" s="18"/>
      <c r="G28" s="18"/>
      <c r="H28" s="18"/>
    </row>
    <row r="29" spans="7:8" s="3" customFormat="1" ht="21">
      <c r="G29" s="8"/>
      <c r="H29" s="8" t="s">
        <v>22</v>
      </c>
    </row>
    <row r="30" spans="3:8" s="3" customFormat="1" ht="25.5">
      <c r="C30" s="148" t="s">
        <v>259</v>
      </c>
      <c r="D30" s="149"/>
      <c r="E30" s="149"/>
      <c r="F30" s="149"/>
      <c r="G30" s="149"/>
      <c r="H30" s="150"/>
    </row>
    <row r="31" spans="3:8" s="3" customFormat="1" ht="63">
      <c r="C31" s="151" t="s">
        <v>260</v>
      </c>
      <c r="D31" s="152"/>
      <c r="E31" s="152"/>
      <c r="F31" s="153"/>
      <c r="G31" s="49" t="s">
        <v>23</v>
      </c>
      <c r="H31" s="62" t="s">
        <v>232</v>
      </c>
    </row>
    <row r="32" spans="3:8" s="3" customFormat="1" ht="188.25" customHeight="1">
      <c r="C32" s="178" t="s">
        <v>265</v>
      </c>
      <c r="D32" s="179"/>
      <c r="E32" s="179"/>
      <c r="F32" s="180"/>
      <c r="G32" s="65">
        <f>F14</f>
        <v>53974.2</v>
      </c>
      <c r="H32" s="65">
        <f>H14</f>
        <v>17539.909999999996</v>
      </c>
    </row>
    <row r="33" spans="3:8" s="3" customFormat="1" ht="25.5">
      <c r="C33" s="148" t="s">
        <v>258</v>
      </c>
      <c r="D33" s="149"/>
      <c r="E33" s="149"/>
      <c r="F33" s="149"/>
      <c r="G33" s="149"/>
      <c r="H33" s="150"/>
    </row>
    <row r="34" spans="3:8" s="3" customFormat="1" ht="63">
      <c r="C34" s="181" t="s">
        <v>261</v>
      </c>
      <c r="D34" s="182"/>
      <c r="E34" s="164" t="s">
        <v>260</v>
      </c>
      <c r="F34" s="165"/>
      <c r="G34" s="166"/>
      <c r="H34" s="111" t="s">
        <v>262</v>
      </c>
    </row>
    <row r="35" spans="3:8" s="3" customFormat="1" ht="21">
      <c r="C35" s="136"/>
      <c r="D35" s="131">
        <v>6513.96</v>
      </c>
      <c r="E35" s="194" t="s">
        <v>107</v>
      </c>
      <c r="F35" s="195"/>
      <c r="G35" s="35">
        <v>16600</v>
      </c>
      <c r="H35" s="31"/>
    </row>
    <row r="36" spans="3:8" s="3" customFormat="1" ht="21">
      <c r="C36" s="129"/>
      <c r="D36" s="132"/>
      <c r="E36" s="195" t="s">
        <v>169</v>
      </c>
      <c r="F36" s="224"/>
      <c r="G36" s="35">
        <v>1338.15</v>
      </c>
      <c r="H36" s="31"/>
    </row>
    <row r="37" spans="3:8" s="3" customFormat="1" ht="21">
      <c r="C37" s="129"/>
      <c r="D37" s="132"/>
      <c r="E37" s="226" t="s">
        <v>170</v>
      </c>
      <c r="F37" s="227"/>
      <c r="G37" s="35">
        <v>2722</v>
      </c>
      <c r="H37" s="31"/>
    </row>
    <row r="38" spans="3:8" s="3" customFormat="1" ht="21">
      <c r="C38" s="129"/>
      <c r="D38" s="133"/>
      <c r="E38" s="192" t="s">
        <v>229</v>
      </c>
      <c r="F38" s="193"/>
      <c r="G38" s="36">
        <f>SUM(G35:G37)</f>
        <v>20660.15</v>
      </c>
      <c r="H38" s="37">
        <f>F15-G38</f>
        <v>-2866.670000000002</v>
      </c>
    </row>
    <row r="39" spans="3:8" s="3" customFormat="1" ht="21">
      <c r="C39" s="130"/>
      <c r="D39" s="134"/>
      <c r="E39" s="192" t="s">
        <v>230</v>
      </c>
      <c r="F39" s="193"/>
      <c r="G39" s="36"/>
      <c r="H39" s="37">
        <f>D35+H38</f>
        <v>3647.289999999998</v>
      </c>
    </row>
    <row r="40" spans="3:8" s="3" customFormat="1" ht="21">
      <c r="C40" s="135">
        <v>3</v>
      </c>
      <c r="D40" s="126" t="s">
        <v>24</v>
      </c>
      <c r="E40" s="4"/>
      <c r="F40" s="22" t="s">
        <v>10</v>
      </c>
      <c r="G40" s="19"/>
      <c r="H40" s="11"/>
    </row>
    <row r="41" spans="3:8" s="3" customFormat="1" ht="21">
      <c r="C41" s="201"/>
      <c r="D41" s="204"/>
      <c r="E41" s="26"/>
      <c r="F41" s="24" t="s">
        <v>192</v>
      </c>
      <c r="G41" s="19"/>
      <c r="H41" s="11"/>
    </row>
    <row r="42" spans="3:8" s="3" customFormat="1" ht="21">
      <c r="C42" s="202"/>
      <c r="D42" s="202"/>
      <c r="E42" s="27"/>
      <c r="F42" s="24" t="s">
        <v>226</v>
      </c>
      <c r="G42" s="19"/>
      <c r="H42" s="11"/>
    </row>
    <row r="43" spans="3:8" s="3" customFormat="1" ht="21">
      <c r="C43" s="202"/>
      <c r="D43" s="202"/>
      <c r="E43" s="27"/>
      <c r="F43" s="22"/>
      <c r="G43" s="19"/>
      <c r="H43" s="11"/>
    </row>
    <row r="44" spans="3:8" s="3" customFormat="1" ht="21">
      <c r="C44" s="23"/>
      <c r="D44" s="23"/>
      <c r="E44" s="23"/>
      <c r="F44" s="24"/>
      <c r="G44" s="19"/>
      <c r="H44" s="11"/>
    </row>
    <row r="45" s="6" customFormat="1" ht="21">
      <c r="C45" s="3"/>
    </row>
    <row r="46" s="5" customFormat="1" ht="15"/>
    <row r="47" spans="4:5" ht="26.25">
      <c r="D47" s="1"/>
      <c r="E47" s="1"/>
    </row>
    <row r="48" spans="4:5" ht="26.25">
      <c r="D48" s="1"/>
      <c r="E48" s="1"/>
    </row>
  </sheetData>
  <sheetProtection/>
  <mergeCells count="15">
    <mergeCell ref="C41:C43"/>
    <mergeCell ref="D41:D43"/>
    <mergeCell ref="E36:F36"/>
    <mergeCell ref="E37:F37"/>
    <mergeCell ref="C30:H30"/>
    <mergeCell ref="C31:F31"/>
    <mergeCell ref="C32:F32"/>
    <mergeCell ref="C33:H33"/>
    <mergeCell ref="E39:F39"/>
    <mergeCell ref="C34:D34"/>
    <mergeCell ref="E34:G34"/>
    <mergeCell ref="E35:F35"/>
    <mergeCell ref="E38:F38"/>
    <mergeCell ref="C13:H13"/>
    <mergeCell ref="C18:H18"/>
  </mergeCells>
  <printOptions/>
  <pageMargins left="0.25" right="0.25" top="0.75" bottom="0.75" header="0.3" footer="0.3"/>
  <pageSetup horizontalDpi="600" verticalDpi="600" orientation="landscape" paperSize="9" scale="70" r:id="rId2"/>
  <rowBreaks count="1" manualBreakCount="1">
    <brk id="28" min="2" max="7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C1:H44"/>
  <sheetViews>
    <sheetView view="pageBreakPreview" zoomScale="73" zoomScaleNormal="75" zoomScaleSheetLayoutView="73" zoomScalePageLayoutView="0" workbookViewId="0" topLeftCell="A37">
      <selection activeCell="C43" sqref="C43:F44"/>
    </sheetView>
  </sheetViews>
  <sheetFormatPr defaultColWidth="9.140625" defaultRowHeight="15"/>
  <cols>
    <col min="3" max="3" width="9.00390625" style="0" customWidth="1"/>
    <col min="4" max="5" width="40.421875" style="0" customWidth="1"/>
    <col min="6" max="6" width="48.57421875" style="0" customWidth="1"/>
    <col min="7" max="7" width="34.140625" style="0" customWidth="1"/>
    <col min="8" max="8" width="32.00390625" style="0" customWidth="1"/>
  </cols>
  <sheetData>
    <row r="1" spans="4:7" s="1" customFormat="1" ht="28.5">
      <c r="D1" s="21" t="s">
        <v>26</v>
      </c>
      <c r="E1" s="21"/>
      <c r="F1" s="21"/>
      <c r="G1" s="21"/>
    </row>
    <row r="2" spans="4:7" s="1" customFormat="1" ht="28.5">
      <c r="D2" s="21" t="s">
        <v>27</v>
      </c>
      <c r="E2" s="21"/>
      <c r="F2" s="21"/>
      <c r="G2" s="21"/>
    </row>
    <row r="3" spans="4:8" ht="18.75">
      <c r="D3" s="2" t="s">
        <v>28</v>
      </c>
      <c r="E3" s="2"/>
      <c r="F3" s="2"/>
      <c r="G3" s="2"/>
      <c r="H3" s="7"/>
    </row>
    <row r="4" spans="4:8" ht="18.75">
      <c r="D4" s="2" t="s">
        <v>29</v>
      </c>
      <c r="E4" s="2"/>
      <c r="F4" s="2"/>
      <c r="G4" s="2"/>
      <c r="H4" s="7"/>
    </row>
    <row r="5" spans="4:8" ht="15">
      <c r="D5" s="7"/>
      <c r="E5" s="7"/>
      <c r="F5" s="7"/>
      <c r="G5" s="7"/>
      <c r="H5" s="7"/>
    </row>
    <row r="6" spans="4:7" s="3" customFormat="1" ht="26.25">
      <c r="D6" s="1" t="s">
        <v>30</v>
      </c>
      <c r="E6" s="1"/>
      <c r="F6" s="1"/>
      <c r="G6" s="1"/>
    </row>
    <row r="7" spans="4:7" s="3" customFormat="1" ht="26.25">
      <c r="D7" s="1" t="s">
        <v>87</v>
      </c>
      <c r="E7" s="1"/>
      <c r="F7" s="1"/>
      <c r="G7" s="1"/>
    </row>
    <row r="8" spans="4:7" s="3" customFormat="1" ht="26.25">
      <c r="D8" s="1" t="s">
        <v>90</v>
      </c>
      <c r="E8" s="1"/>
      <c r="F8" s="1"/>
      <c r="G8" s="1"/>
    </row>
    <row r="9" spans="4:8" ht="15">
      <c r="D9" s="7"/>
      <c r="E9" s="7"/>
      <c r="F9" s="7"/>
      <c r="G9" s="7"/>
      <c r="H9" s="7"/>
    </row>
    <row r="10" spans="3:8" ht="21">
      <c r="C10" s="3" t="s">
        <v>9</v>
      </c>
      <c r="D10" s="7"/>
      <c r="E10" s="7"/>
      <c r="F10" s="7"/>
      <c r="G10" s="7"/>
      <c r="H10" s="7"/>
    </row>
    <row r="11" s="3" customFormat="1" ht="34.5" customHeight="1">
      <c r="H11" s="8" t="s">
        <v>20</v>
      </c>
    </row>
    <row r="12" spans="3:8" s="10" customFormat="1" ht="40.5">
      <c r="C12" s="9" t="s">
        <v>13</v>
      </c>
      <c r="D12" s="9" t="s">
        <v>14</v>
      </c>
      <c r="E12" s="9" t="s">
        <v>172</v>
      </c>
      <c r="F12" s="9" t="s">
        <v>15</v>
      </c>
      <c r="G12" s="9" t="s">
        <v>16</v>
      </c>
      <c r="H12" s="9" t="s">
        <v>11</v>
      </c>
    </row>
    <row r="13" spans="3:8" s="3" customFormat="1" ht="21">
      <c r="C13" s="198" t="s">
        <v>17</v>
      </c>
      <c r="D13" s="199"/>
      <c r="E13" s="199"/>
      <c r="F13" s="199"/>
      <c r="G13" s="199"/>
      <c r="H13" s="200"/>
    </row>
    <row r="14" spans="3:8" s="3" customFormat="1" ht="21">
      <c r="C14" s="11">
        <v>1</v>
      </c>
      <c r="D14" s="11" t="s">
        <v>18</v>
      </c>
      <c r="E14" s="31">
        <v>3179.84</v>
      </c>
      <c r="F14" s="31">
        <f>22524-325.15</f>
        <v>22198.85</v>
      </c>
      <c r="G14" s="31">
        <v>22644.29</v>
      </c>
      <c r="H14" s="31">
        <f>E14+F14-G14</f>
        <v>2734.399999999998</v>
      </c>
    </row>
    <row r="15" spans="3:8" s="3" customFormat="1" ht="21">
      <c r="C15" s="11">
        <v>2</v>
      </c>
      <c r="D15" s="11" t="s">
        <v>19</v>
      </c>
      <c r="E15" s="31">
        <v>1466.84</v>
      </c>
      <c r="F15" s="31">
        <f>10624.56-132.47</f>
        <v>10492.09</v>
      </c>
      <c r="G15" s="31">
        <v>10669.12</v>
      </c>
      <c r="H15" s="31">
        <f>E15+F15-G15</f>
        <v>1289.8099999999995</v>
      </c>
    </row>
    <row r="16" spans="3:8" s="3" customFormat="1" ht="42">
      <c r="C16" s="11">
        <v>3</v>
      </c>
      <c r="D16" s="29" t="s">
        <v>186</v>
      </c>
      <c r="E16" s="31"/>
      <c r="F16" s="31">
        <v>2974.92</v>
      </c>
      <c r="G16" s="31">
        <f>2935.8-322.01</f>
        <v>2613.79</v>
      </c>
      <c r="H16" s="31">
        <f>E16+F16-G16</f>
        <v>361.1300000000001</v>
      </c>
    </row>
    <row r="17" spans="3:8" s="3" customFormat="1" ht="41.25">
      <c r="C17" s="11"/>
      <c r="D17" s="4" t="s">
        <v>0</v>
      </c>
      <c r="E17" s="32">
        <f>SUM(E14:E16)</f>
        <v>4646.68</v>
      </c>
      <c r="F17" s="32">
        <f>SUM(F14:F16)</f>
        <v>35665.86</v>
      </c>
      <c r="G17" s="32">
        <f>SUM(G14:G16)</f>
        <v>35927.200000000004</v>
      </c>
      <c r="H17" s="32">
        <f>SUM(H14:H16)</f>
        <v>4385.339999999997</v>
      </c>
    </row>
    <row r="18" spans="3:8" s="3" customFormat="1" ht="21">
      <c r="C18" s="198" t="s">
        <v>21</v>
      </c>
      <c r="D18" s="199"/>
      <c r="E18" s="199"/>
      <c r="F18" s="199"/>
      <c r="G18" s="199"/>
      <c r="H18" s="200"/>
    </row>
    <row r="19" spans="3:8" s="3" customFormat="1" ht="21" hidden="1">
      <c r="C19" s="11">
        <v>3</v>
      </c>
      <c r="D19" s="11" t="s">
        <v>1</v>
      </c>
      <c r="E19" s="11"/>
      <c r="F19" s="12"/>
      <c r="G19" s="12"/>
      <c r="H19" s="13">
        <f>F19-G19</f>
        <v>0</v>
      </c>
    </row>
    <row r="20" spans="3:8" s="3" customFormat="1" ht="21">
      <c r="C20" s="11">
        <v>4</v>
      </c>
      <c r="D20" s="11" t="s">
        <v>4</v>
      </c>
      <c r="E20" s="31">
        <v>5717.53</v>
      </c>
      <c r="F20" s="34">
        <f>30672.01-935.39</f>
        <v>29736.62</v>
      </c>
      <c r="G20" s="34">
        <v>32677.26</v>
      </c>
      <c r="H20" s="34">
        <f>E20+F20-G20</f>
        <v>2776.890000000003</v>
      </c>
    </row>
    <row r="21" spans="3:8" s="3" customFormat="1" ht="21">
      <c r="C21" s="11">
        <v>5</v>
      </c>
      <c r="D21" s="14" t="s">
        <v>2</v>
      </c>
      <c r="E21" s="35">
        <v>4679.11</v>
      </c>
      <c r="F21" s="34">
        <f>22077.77-697.4-102.66</f>
        <v>21277.71</v>
      </c>
      <c r="G21" s="34">
        <v>22941.94</v>
      </c>
      <c r="H21" s="34">
        <f>E21+F21-G21</f>
        <v>3014.880000000001</v>
      </c>
    </row>
    <row r="22" spans="3:8" s="3" customFormat="1" ht="21">
      <c r="C22" s="15">
        <v>6</v>
      </c>
      <c r="D22" s="14" t="s">
        <v>3</v>
      </c>
      <c r="E22" s="35">
        <v>4562.66</v>
      </c>
      <c r="F22" s="34">
        <v>-11920.6</v>
      </c>
      <c r="G22" s="34">
        <f>19639.61+550.86</f>
        <v>20190.47</v>
      </c>
      <c r="H22" s="34">
        <f>E22+F22-G22</f>
        <v>-27548.410000000003</v>
      </c>
    </row>
    <row r="23" spans="3:8" s="3" customFormat="1" ht="21">
      <c r="C23" s="15">
        <v>7</v>
      </c>
      <c r="D23" s="14" t="s">
        <v>188</v>
      </c>
      <c r="E23" s="35"/>
      <c r="F23" s="34">
        <v>1098.86</v>
      </c>
      <c r="G23" s="34">
        <v>0</v>
      </c>
      <c r="H23" s="34">
        <f>E23+F23-G23</f>
        <v>1098.86</v>
      </c>
    </row>
    <row r="24" spans="3:8" s="3" customFormat="1" ht="21" hidden="1">
      <c r="C24" s="15">
        <v>7</v>
      </c>
      <c r="D24" s="14" t="s">
        <v>4</v>
      </c>
      <c r="E24" s="35"/>
      <c r="F24" s="34"/>
      <c r="G24" s="34"/>
      <c r="H24" s="34">
        <f>F24-G24</f>
        <v>0</v>
      </c>
    </row>
    <row r="25" spans="3:8" s="3" customFormat="1" ht="41.25">
      <c r="C25" s="11"/>
      <c r="D25" s="4" t="s">
        <v>5</v>
      </c>
      <c r="E25" s="32">
        <f>SUM(E20:E24)</f>
        <v>14959.3</v>
      </c>
      <c r="F25" s="32">
        <f>SUM(F20:F24)</f>
        <v>40192.590000000004</v>
      </c>
      <c r="G25" s="32">
        <f>SUM(G20:G24)</f>
        <v>75809.67</v>
      </c>
      <c r="H25" s="32">
        <f>SUM(H20:H24)</f>
        <v>-20657.78</v>
      </c>
    </row>
    <row r="26" spans="3:8" s="3" customFormat="1" ht="41.25">
      <c r="C26" s="11"/>
      <c r="D26" s="4" t="s">
        <v>6</v>
      </c>
      <c r="E26" s="32">
        <f>E17+E25</f>
        <v>19605.98</v>
      </c>
      <c r="F26" s="32">
        <f>F17+F25</f>
        <v>75858.45000000001</v>
      </c>
      <c r="G26" s="32">
        <f>G17+G25</f>
        <v>111736.87</v>
      </c>
      <c r="H26" s="32">
        <f>H17+H25</f>
        <v>-16272.440000000002</v>
      </c>
    </row>
    <row r="27" spans="3:8" s="3" customFormat="1" ht="21">
      <c r="C27" s="16"/>
      <c r="D27" s="17"/>
      <c r="E27" s="17"/>
      <c r="F27" s="18"/>
      <c r="G27" s="18"/>
      <c r="H27" s="18"/>
    </row>
    <row r="28" spans="3:8" s="3" customFormat="1" ht="21">
      <c r="C28" s="16"/>
      <c r="D28" s="17"/>
      <c r="E28" s="17"/>
      <c r="F28" s="18"/>
      <c r="G28" s="18"/>
      <c r="H28" s="18"/>
    </row>
    <row r="29" spans="7:8" s="3" customFormat="1" ht="21">
      <c r="G29" s="8"/>
      <c r="H29" s="8" t="s">
        <v>22</v>
      </c>
    </row>
    <row r="30" spans="3:8" s="3" customFormat="1" ht="25.5">
      <c r="C30" s="148" t="s">
        <v>259</v>
      </c>
      <c r="D30" s="149"/>
      <c r="E30" s="149"/>
      <c r="F30" s="149"/>
      <c r="G30" s="149"/>
      <c r="H30" s="150"/>
    </row>
    <row r="31" spans="3:8" s="3" customFormat="1" ht="42">
      <c r="C31" s="151" t="s">
        <v>260</v>
      </c>
      <c r="D31" s="152"/>
      <c r="E31" s="152"/>
      <c r="F31" s="153"/>
      <c r="G31" s="49" t="s">
        <v>23</v>
      </c>
      <c r="H31" s="62" t="s">
        <v>232</v>
      </c>
    </row>
    <row r="32" spans="3:8" s="3" customFormat="1" ht="180.75" customHeight="1">
      <c r="C32" s="178" t="s">
        <v>265</v>
      </c>
      <c r="D32" s="179"/>
      <c r="E32" s="179"/>
      <c r="F32" s="180"/>
      <c r="G32" s="65">
        <f>F14</f>
        <v>22198.85</v>
      </c>
      <c r="H32" s="65">
        <f>H14</f>
        <v>2734.399999999998</v>
      </c>
    </row>
    <row r="33" spans="3:8" s="3" customFormat="1" ht="25.5">
      <c r="C33" s="148" t="s">
        <v>258</v>
      </c>
      <c r="D33" s="149"/>
      <c r="E33" s="149"/>
      <c r="F33" s="149"/>
      <c r="G33" s="149"/>
      <c r="H33" s="150"/>
    </row>
    <row r="34" spans="3:8" s="3" customFormat="1" ht="63">
      <c r="C34" s="181" t="s">
        <v>261</v>
      </c>
      <c r="D34" s="182"/>
      <c r="E34" s="164" t="s">
        <v>260</v>
      </c>
      <c r="F34" s="165"/>
      <c r="G34" s="166"/>
      <c r="H34" s="111" t="s">
        <v>262</v>
      </c>
    </row>
    <row r="35" spans="3:8" s="3" customFormat="1" ht="21">
      <c r="C35" s="136"/>
      <c r="D35" s="141">
        <v>2960.06</v>
      </c>
      <c r="E35" s="194" t="s">
        <v>171</v>
      </c>
      <c r="F35" s="195"/>
      <c r="G35" s="35">
        <v>588.86</v>
      </c>
      <c r="H35" s="31"/>
    </row>
    <row r="36" spans="3:8" s="3" customFormat="1" ht="21">
      <c r="C36" s="129"/>
      <c r="D36" s="133"/>
      <c r="E36" s="192" t="s">
        <v>229</v>
      </c>
      <c r="F36" s="193"/>
      <c r="G36" s="36">
        <f>SUM(G35:G35)</f>
        <v>588.86</v>
      </c>
      <c r="H36" s="37">
        <f>G15-G36</f>
        <v>10080.26</v>
      </c>
    </row>
    <row r="37" spans="3:8" s="3" customFormat="1" ht="21">
      <c r="C37" s="130"/>
      <c r="D37" s="134"/>
      <c r="E37" s="196" t="s">
        <v>230</v>
      </c>
      <c r="F37" s="197"/>
      <c r="G37" s="36"/>
      <c r="H37" s="37">
        <f>H36+D35</f>
        <v>13040.32</v>
      </c>
    </row>
    <row r="38" spans="3:8" s="3" customFormat="1" ht="21">
      <c r="C38" s="135">
        <v>3</v>
      </c>
      <c r="D38" s="126" t="s">
        <v>24</v>
      </c>
      <c r="E38" s="4"/>
      <c r="F38" s="25" t="s">
        <v>191</v>
      </c>
      <c r="G38" s="19"/>
      <c r="H38" s="11"/>
    </row>
    <row r="39" spans="3:8" s="3" customFormat="1" ht="21">
      <c r="C39" s="202"/>
      <c r="D39" s="202"/>
      <c r="E39" s="27"/>
      <c r="F39" s="24" t="s">
        <v>241</v>
      </c>
      <c r="G39" s="19"/>
      <c r="H39" s="11"/>
    </row>
    <row r="40" spans="3:8" s="3" customFormat="1" ht="21">
      <c r="C40" s="203"/>
      <c r="D40" s="203"/>
      <c r="E40" s="28"/>
      <c r="F40" s="24"/>
      <c r="G40" s="19"/>
      <c r="H40" s="11"/>
    </row>
    <row r="41" spans="3:8" s="3" customFormat="1" ht="21">
      <c r="C41" s="23"/>
      <c r="D41" s="23"/>
      <c r="E41" s="23"/>
      <c r="F41" s="24"/>
      <c r="G41" s="19"/>
      <c r="H41" s="11"/>
    </row>
    <row r="42" s="6" customFormat="1" ht="21">
      <c r="C42" s="3"/>
    </row>
    <row r="43" spans="4:6" s="5" customFormat="1" ht="26.25">
      <c r="D43" s="1"/>
      <c r="E43" s="1"/>
      <c r="F43"/>
    </row>
    <row r="44" spans="4:5" ht="26.25">
      <c r="D44" s="1"/>
      <c r="E44" s="1"/>
    </row>
  </sheetData>
  <sheetProtection/>
  <mergeCells count="13">
    <mergeCell ref="C39:C40"/>
    <mergeCell ref="D39:D40"/>
    <mergeCell ref="E37:F37"/>
    <mergeCell ref="E36:F36"/>
    <mergeCell ref="C34:D34"/>
    <mergeCell ref="E34:G34"/>
    <mergeCell ref="E35:F35"/>
    <mergeCell ref="C13:H13"/>
    <mergeCell ref="C18:H18"/>
    <mergeCell ref="C30:H30"/>
    <mergeCell ref="C31:F31"/>
    <mergeCell ref="C32:F32"/>
    <mergeCell ref="C33:H33"/>
  </mergeCells>
  <printOptions/>
  <pageMargins left="0.25" right="0.25" top="0.75" bottom="0.75" header="0.3" footer="0.3"/>
  <pageSetup horizontalDpi="600" verticalDpi="600" orientation="landscape" paperSize="9" scale="69" r:id="rId2"/>
  <rowBreaks count="1" manualBreakCount="1">
    <brk id="28" min="2" max="7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C1:I59"/>
  <sheetViews>
    <sheetView view="pageBreakPreview" zoomScale="73" zoomScaleSheetLayoutView="73" zoomScalePageLayoutView="0" workbookViewId="0" topLeftCell="B44">
      <selection activeCell="D56" sqref="D56:G60"/>
    </sheetView>
  </sheetViews>
  <sheetFormatPr defaultColWidth="9.140625" defaultRowHeight="15"/>
  <cols>
    <col min="3" max="3" width="9.00390625" style="0" customWidth="1"/>
    <col min="4" max="5" width="40.421875" style="0" customWidth="1"/>
    <col min="6" max="6" width="48.57421875" style="0" customWidth="1"/>
    <col min="7" max="7" width="34.140625" style="0" customWidth="1"/>
    <col min="8" max="8" width="31.00390625" style="0" customWidth="1"/>
    <col min="9" max="9" width="20.57421875" style="0" customWidth="1"/>
  </cols>
  <sheetData>
    <row r="1" spans="4:7" s="1" customFormat="1" ht="28.5">
      <c r="D1" s="21" t="s">
        <v>26</v>
      </c>
      <c r="E1" s="21"/>
      <c r="F1" s="21"/>
      <c r="G1" s="21"/>
    </row>
    <row r="2" spans="4:7" s="1" customFormat="1" ht="28.5">
      <c r="D2" s="21" t="s">
        <v>27</v>
      </c>
      <c r="E2" s="21"/>
      <c r="F2" s="21"/>
      <c r="G2" s="21"/>
    </row>
    <row r="3" spans="4:8" ht="18.75">
      <c r="D3" s="2" t="s">
        <v>28</v>
      </c>
      <c r="E3" s="2"/>
      <c r="F3" s="2"/>
      <c r="G3" s="2"/>
      <c r="H3" s="7"/>
    </row>
    <row r="4" spans="4:8" ht="18.75">
      <c r="D4" s="2" t="s">
        <v>29</v>
      </c>
      <c r="E4" s="2"/>
      <c r="F4" s="2"/>
      <c r="G4" s="2"/>
      <c r="H4" s="7"/>
    </row>
    <row r="5" spans="4:8" ht="15">
      <c r="D5" s="7"/>
      <c r="E5" s="7"/>
      <c r="F5" s="7"/>
      <c r="G5" s="7"/>
      <c r="H5" s="7"/>
    </row>
    <row r="6" spans="4:7" s="3" customFormat="1" ht="26.25">
      <c r="D6" s="1" t="s">
        <v>30</v>
      </c>
      <c r="E6" s="1"/>
      <c r="F6" s="1"/>
      <c r="G6" s="1"/>
    </row>
    <row r="7" spans="4:7" s="3" customFormat="1" ht="26.25">
      <c r="D7" s="1" t="s">
        <v>162</v>
      </c>
      <c r="E7" s="1"/>
      <c r="F7" s="1"/>
      <c r="G7" s="1"/>
    </row>
    <row r="8" spans="4:7" s="3" customFormat="1" ht="26.25">
      <c r="D8" s="1" t="s">
        <v>90</v>
      </c>
      <c r="E8" s="1"/>
      <c r="F8" s="1"/>
      <c r="G8" s="1"/>
    </row>
    <row r="9" spans="4:8" ht="15">
      <c r="D9" s="7"/>
      <c r="E9" s="7"/>
      <c r="F9" s="7"/>
      <c r="G9" s="7"/>
      <c r="H9" s="7"/>
    </row>
    <row r="10" spans="3:8" ht="21">
      <c r="C10" s="3" t="s">
        <v>203</v>
      </c>
      <c r="D10" s="7"/>
      <c r="E10" s="7"/>
      <c r="F10" s="7"/>
      <c r="G10" s="7"/>
      <c r="H10" s="7"/>
    </row>
    <row r="11" s="3" customFormat="1" ht="34.5" customHeight="1">
      <c r="H11" s="8" t="s">
        <v>20</v>
      </c>
    </row>
    <row r="12" spans="3:8" s="10" customFormat="1" ht="40.5">
      <c r="C12" s="9" t="s">
        <v>13</v>
      </c>
      <c r="D12" s="9" t="s">
        <v>14</v>
      </c>
      <c r="E12" s="9" t="s">
        <v>172</v>
      </c>
      <c r="F12" s="9" t="s">
        <v>15</v>
      </c>
      <c r="G12" s="9" t="s">
        <v>16</v>
      </c>
      <c r="H12" s="9" t="s">
        <v>11</v>
      </c>
    </row>
    <row r="13" spans="3:8" s="3" customFormat="1" ht="21">
      <c r="C13" s="198" t="s">
        <v>17</v>
      </c>
      <c r="D13" s="199"/>
      <c r="E13" s="199"/>
      <c r="F13" s="199"/>
      <c r="G13" s="199"/>
      <c r="H13" s="200"/>
    </row>
    <row r="14" spans="3:8" s="3" customFormat="1" ht="21">
      <c r="C14" s="11">
        <v>1</v>
      </c>
      <c r="D14" s="11" t="s">
        <v>18</v>
      </c>
      <c r="E14" s="31"/>
      <c r="F14" s="31">
        <v>334028.71</v>
      </c>
      <c r="G14" s="31">
        <v>181920.91</v>
      </c>
      <c r="H14" s="31">
        <f aca="true" t="shared" si="0" ref="H14:H19">E14+F14-G14</f>
        <v>152107.80000000002</v>
      </c>
    </row>
    <row r="15" spans="3:8" s="3" customFormat="1" ht="21">
      <c r="C15" s="11">
        <v>2</v>
      </c>
      <c r="D15" s="11" t="s">
        <v>19</v>
      </c>
      <c r="E15" s="31"/>
      <c r="F15" s="31">
        <v>0</v>
      </c>
      <c r="G15" s="31">
        <v>0</v>
      </c>
      <c r="H15" s="31">
        <f t="shared" si="0"/>
        <v>0</v>
      </c>
    </row>
    <row r="16" spans="3:8" s="3" customFormat="1" ht="21">
      <c r="C16" s="11">
        <v>3</v>
      </c>
      <c r="D16" s="11" t="s">
        <v>193</v>
      </c>
      <c r="E16" s="31"/>
      <c r="F16" s="31">
        <v>36536.75</v>
      </c>
      <c r="G16" s="31">
        <v>20660.25</v>
      </c>
      <c r="H16" s="31">
        <f t="shared" si="0"/>
        <v>15876.5</v>
      </c>
    </row>
    <row r="17" spans="3:8" s="3" customFormat="1" ht="21">
      <c r="C17" s="11">
        <v>4</v>
      </c>
      <c r="D17" s="11" t="s">
        <v>187</v>
      </c>
      <c r="E17" s="31"/>
      <c r="F17" s="31">
        <v>4787.28</v>
      </c>
      <c r="G17" s="31">
        <v>2185.58</v>
      </c>
      <c r="H17" s="31">
        <f t="shared" si="0"/>
        <v>2601.7</v>
      </c>
    </row>
    <row r="18" spans="3:8" s="3" customFormat="1" ht="21" hidden="1">
      <c r="C18" s="11">
        <v>5</v>
      </c>
      <c r="D18" s="11" t="s">
        <v>243</v>
      </c>
      <c r="E18" s="31"/>
      <c r="F18" s="31"/>
      <c r="G18" s="31"/>
      <c r="H18" s="31"/>
    </row>
    <row r="19" spans="3:8" s="3" customFormat="1" ht="42">
      <c r="C19" s="11">
        <v>5</v>
      </c>
      <c r="D19" s="29" t="s">
        <v>186</v>
      </c>
      <c r="E19" s="31"/>
      <c r="F19" s="31">
        <v>25338.26</v>
      </c>
      <c r="G19" s="31">
        <v>18814.06</v>
      </c>
      <c r="H19" s="31">
        <f t="shared" si="0"/>
        <v>6524.199999999997</v>
      </c>
    </row>
    <row r="20" spans="3:8" s="3" customFormat="1" ht="41.25">
      <c r="C20" s="11"/>
      <c r="D20" s="4" t="s">
        <v>0</v>
      </c>
      <c r="E20" s="32"/>
      <c r="F20" s="32">
        <f>SUM(F14:F19)</f>
        <v>400691.00000000006</v>
      </c>
      <c r="G20" s="32">
        <f>SUM(G14:G19)</f>
        <v>223580.8</v>
      </c>
      <c r="H20" s="32">
        <f>SUM(H14:H19)</f>
        <v>177110.2</v>
      </c>
    </row>
    <row r="21" spans="3:8" s="3" customFormat="1" ht="21">
      <c r="C21" s="198" t="s">
        <v>21</v>
      </c>
      <c r="D21" s="199"/>
      <c r="E21" s="199"/>
      <c r="F21" s="199"/>
      <c r="G21" s="199"/>
      <c r="H21" s="200"/>
    </row>
    <row r="22" spans="3:8" s="3" customFormat="1" ht="21">
      <c r="C22" s="11">
        <v>6</v>
      </c>
      <c r="D22" s="11" t="s">
        <v>1</v>
      </c>
      <c r="E22" s="31"/>
      <c r="F22" s="34">
        <f>1502230.97-272.84</f>
        <v>1501958.13</v>
      </c>
      <c r="G22" s="34">
        <v>806080.83</v>
      </c>
      <c r="H22" s="34">
        <f aca="true" t="shared" si="1" ref="H22:H27">E22+F22-G22</f>
        <v>695877.2999999999</v>
      </c>
    </row>
    <row r="23" spans="3:8" s="3" customFormat="1" ht="21">
      <c r="C23" s="11">
        <v>7</v>
      </c>
      <c r="D23" s="11" t="s">
        <v>4</v>
      </c>
      <c r="E23" s="31"/>
      <c r="F23" s="34">
        <v>83777.78</v>
      </c>
      <c r="G23" s="34">
        <v>53379.83</v>
      </c>
      <c r="H23" s="34">
        <f t="shared" si="1"/>
        <v>30397.949999999997</v>
      </c>
    </row>
    <row r="24" spans="3:8" s="3" customFormat="1" ht="21">
      <c r="C24" s="11">
        <v>8</v>
      </c>
      <c r="D24" s="11" t="s">
        <v>7</v>
      </c>
      <c r="E24" s="31"/>
      <c r="F24" s="34">
        <v>30314.57</v>
      </c>
      <c r="G24" s="34">
        <v>6554.55</v>
      </c>
      <c r="H24" s="34">
        <f t="shared" si="1"/>
        <v>23760.02</v>
      </c>
    </row>
    <row r="25" spans="3:8" s="3" customFormat="1" ht="21">
      <c r="C25" s="11">
        <v>9</v>
      </c>
      <c r="D25" s="14" t="s">
        <v>2</v>
      </c>
      <c r="E25" s="35"/>
      <c r="F25" s="34">
        <v>22727.21</v>
      </c>
      <c r="G25" s="34">
        <v>19301.35</v>
      </c>
      <c r="H25" s="34">
        <f t="shared" si="1"/>
        <v>3425.8600000000006</v>
      </c>
    </row>
    <row r="26" spans="3:8" s="3" customFormat="1" ht="21" hidden="1">
      <c r="C26" s="15">
        <v>5</v>
      </c>
      <c r="D26" s="14" t="s">
        <v>7</v>
      </c>
      <c r="E26" s="35"/>
      <c r="F26" s="34"/>
      <c r="G26" s="34"/>
      <c r="H26" s="34">
        <f t="shared" si="1"/>
        <v>0</v>
      </c>
    </row>
    <row r="27" spans="3:8" s="3" customFormat="1" ht="21">
      <c r="C27" s="15">
        <v>10</v>
      </c>
      <c r="D27" s="14" t="s">
        <v>82</v>
      </c>
      <c r="E27" s="35"/>
      <c r="F27" s="34">
        <v>83417.62</v>
      </c>
      <c r="G27" s="34">
        <v>47857.57</v>
      </c>
      <c r="H27" s="34">
        <f t="shared" si="1"/>
        <v>35560.049999999996</v>
      </c>
    </row>
    <row r="28" spans="3:8" s="3" customFormat="1" ht="21" hidden="1">
      <c r="C28" s="15">
        <v>7</v>
      </c>
      <c r="D28" s="14" t="s">
        <v>4</v>
      </c>
      <c r="E28" s="35"/>
      <c r="F28" s="34"/>
      <c r="G28" s="34"/>
      <c r="H28" s="34">
        <f>F28-G28</f>
        <v>0</v>
      </c>
    </row>
    <row r="29" spans="3:8" s="3" customFormat="1" ht="41.25">
      <c r="C29" s="11"/>
      <c r="D29" s="4" t="s">
        <v>5</v>
      </c>
      <c r="E29" s="32">
        <f>SUM(E22:E28)</f>
        <v>0</v>
      </c>
      <c r="F29" s="32">
        <f>SUM(F22:F28)</f>
        <v>1722195.31</v>
      </c>
      <c r="G29" s="32">
        <f>SUM(G22:G28)</f>
        <v>933174.1299999999</v>
      </c>
      <c r="H29" s="32">
        <f>SUM(H22:H28)</f>
        <v>789021.1799999999</v>
      </c>
    </row>
    <row r="30" spans="3:8" s="3" customFormat="1" ht="41.25">
      <c r="C30" s="11"/>
      <c r="D30" s="4" t="s">
        <v>6</v>
      </c>
      <c r="E30" s="32">
        <f>E20+E29</f>
        <v>0</v>
      </c>
      <c r="F30" s="32">
        <f>F20+F29</f>
        <v>2122886.31</v>
      </c>
      <c r="G30" s="32">
        <f>G20+G29</f>
        <v>1156754.93</v>
      </c>
      <c r="H30" s="32">
        <f>H20+H29</f>
        <v>966131.3799999999</v>
      </c>
    </row>
    <row r="31" spans="3:9" s="3" customFormat="1" ht="21">
      <c r="C31" s="16"/>
      <c r="D31" s="17"/>
      <c r="E31" s="17"/>
      <c r="F31" s="18"/>
      <c r="G31" s="18"/>
      <c r="H31" s="18"/>
      <c r="I31" s="42"/>
    </row>
    <row r="32" spans="3:9" s="3" customFormat="1" ht="21">
      <c r="C32" s="16"/>
      <c r="D32" s="17"/>
      <c r="E32" s="17"/>
      <c r="F32" s="18"/>
      <c r="G32" s="18"/>
      <c r="H32" s="18"/>
      <c r="I32" s="143"/>
    </row>
    <row r="33" spans="7:8" s="3" customFormat="1" ht="21">
      <c r="G33" s="8"/>
      <c r="H33" s="8" t="s">
        <v>22</v>
      </c>
    </row>
    <row r="34" spans="3:8" s="3" customFormat="1" ht="25.5">
      <c r="C34" s="148" t="s">
        <v>259</v>
      </c>
      <c r="D34" s="149"/>
      <c r="E34" s="149"/>
      <c r="F34" s="149"/>
      <c r="G34" s="149"/>
      <c r="H34" s="150"/>
    </row>
    <row r="35" spans="3:8" s="3" customFormat="1" ht="63">
      <c r="C35" s="151" t="s">
        <v>260</v>
      </c>
      <c r="D35" s="152"/>
      <c r="E35" s="152"/>
      <c r="F35" s="153"/>
      <c r="G35" s="49" t="s">
        <v>23</v>
      </c>
      <c r="H35" s="62" t="s">
        <v>232</v>
      </c>
    </row>
    <row r="36" spans="3:8" s="3" customFormat="1" ht="170.25" customHeight="1">
      <c r="C36" s="178" t="s">
        <v>265</v>
      </c>
      <c r="D36" s="179"/>
      <c r="E36" s="179"/>
      <c r="F36" s="180"/>
      <c r="G36" s="65">
        <f>F14</f>
        <v>334028.71</v>
      </c>
      <c r="H36" s="65">
        <f>H14</f>
        <v>152107.80000000002</v>
      </c>
    </row>
    <row r="37" spans="3:8" s="3" customFormat="1" ht="33" customHeight="1">
      <c r="C37" s="148" t="s">
        <v>258</v>
      </c>
      <c r="D37" s="149"/>
      <c r="E37" s="149"/>
      <c r="F37" s="149"/>
      <c r="G37" s="149"/>
      <c r="H37" s="150"/>
    </row>
    <row r="38" spans="3:8" s="3" customFormat="1" ht="63">
      <c r="C38" s="181" t="s">
        <v>261</v>
      </c>
      <c r="D38" s="182"/>
      <c r="E38" s="164" t="s">
        <v>260</v>
      </c>
      <c r="F38" s="165"/>
      <c r="G38" s="166"/>
      <c r="H38" s="111" t="s">
        <v>262</v>
      </c>
    </row>
    <row r="39" spans="3:8" s="3" customFormat="1" ht="21">
      <c r="C39" s="136"/>
      <c r="D39" s="142"/>
      <c r="E39" s="194"/>
      <c r="F39" s="195"/>
      <c r="G39" s="35"/>
      <c r="H39" s="31"/>
    </row>
    <row r="40" spans="3:8" s="3" customFormat="1" ht="21">
      <c r="C40" s="129"/>
      <c r="D40" s="132"/>
      <c r="E40" s="194"/>
      <c r="F40" s="195"/>
      <c r="G40" s="35"/>
      <c r="H40" s="31"/>
    </row>
    <row r="41" spans="3:8" s="3" customFormat="1" ht="21">
      <c r="C41" s="129"/>
      <c r="D41" s="132"/>
      <c r="E41" s="194"/>
      <c r="F41" s="195"/>
      <c r="G41" s="35"/>
      <c r="H41" s="31"/>
    </row>
    <row r="42" spans="3:8" s="3" customFormat="1" ht="21">
      <c r="C42" s="130"/>
      <c r="D42" s="134"/>
      <c r="E42" s="192" t="s">
        <v>273</v>
      </c>
      <c r="F42" s="193"/>
      <c r="G42" s="36">
        <f>SUM(G39:G41)</f>
        <v>0</v>
      </c>
      <c r="H42" s="37">
        <f>G15-G42</f>
        <v>0</v>
      </c>
    </row>
    <row r="43" spans="3:8" s="3" customFormat="1" ht="21">
      <c r="C43" s="135">
        <v>3</v>
      </c>
      <c r="D43" s="126" t="s">
        <v>24</v>
      </c>
      <c r="E43" s="4"/>
      <c r="F43" s="22" t="s">
        <v>239</v>
      </c>
      <c r="G43" s="19"/>
      <c r="H43" s="11"/>
    </row>
    <row r="44" spans="3:8" s="3" customFormat="1" ht="37.5">
      <c r="C44" s="201"/>
      <c r="D44" s="204"/>
      <c r="E44" s="26"/>
      <c r="F44" s="30" t="s">
        <v>240</v>
      </c>
      <c r="G44" s="19"/>
      <c r="H44" s="11"/>
    </row>
    <row r="45" spans="3:8" s="3" customFormat="1" ht="21">
      <c r="C45" s="202"/>
      <c r="D45" s="202"/>
      <c r="E45" s="27"/>
      <c r="F45" s="24"/>
      <c r="G45" s="19"/>
      <c r="H45" s="11"/>
    </row>
    <row r="46" spans="3:8" s="3" customFormat="1" ht="21">
      <c r="C46" s="202"/>
      <c r="D46" s="202"/>
      <c r="E46" s="27"/>
      <c r="F46" s="25"/>
      <c r="G46" s="19"/>
      <c r="H46" s="11"/>
    </row>
    <row r="47" spans="3:8" s="3" customFormat="1" ht="21">
      <c r="C47" s="202"/>
      <c r="D47" s="202"/>
      <c r="E47" s="27"/>
      <c r="F47" s="24"/>
      <c r="G47" s="19"/>
      <c r="H47" s="11"/>
    </row>
    <row r="48" spans="3:8" s="3" customFormat="1" ht="21">
      <c r="C48" s="203"/>
      <c r="D48" s="203"/>
      <c r="E48" s="28"/>
      <c r="F48" s="24"/>
      <c r="G48" s="19"/>
      <c r="H48" s="11"/>
    </row>
    <row r="49" spans="3:8" s="3" customFormat="1" ht="21">
      <c r="C49" s="23"/>
      <c r="D49" s="23"/>
      <c r="E49" s="23"/>
      <c r="F49" s="24"/>
      <c r="G49" s="19"/>
      <c r="H49" s="11"/>
    </row>
    <row r="50" s="6" customFormat="1" ht="21">
      <c r="C50" s="3"/>
    </row>
    <row r="51" s="6" customFormat="1" ht="21">
      <c r="C51" s="3"/>
    </row>
    <row r="52" s="6" customFormat="1" ht="21">
      <c r="C52" s="3"/>
    </row>
    <row r="53" s="6" customFormat="1" ht="21">
      <c r="C53" s="3"/>
    </row>
    <row r="54" s="6" customFormat="1" ht="21">
      <c r="C54" s="3"/>
    </row>
    <row r="55" s="6" customFormat="1" ht="21">
      <c r="C55" s="3"/>
    </row>
    <row r="56" spans="3:9" s="6" customFormat="1" ht="26.25">
      <c r="C56" s="5"/>
      <c r="D56" s="1"/>
      <c r="E56" s="1"/>
      <c r="F56"/>
      <c r="G56" s="5"/>
      <c r="H56" s="5"/>
      <c r="I56" s="5"/>
    </row>
    <row r="57" spans="3:9" s="6" customFormat="1" ht="26.25">
      <c r="C57"/>
      <c r="D57" s="1"/>
      <c r="E57" s="1"/>
      <c r="F57"/>
      <c r="G57"/>
      <c r="H57"/>
      <c r="I57"/>
    </row>
    <row r="58" spans="3:9" s="6" customFormat="1" ht="15.75">
      <c r="C58"/>
      <c r="D58"/>
      <c r="E58"/>
      <c r="F58"/>
      <c r="G58"/>
      <c r="H58"/>
      <c r="I58"/>
    </row>
    <row r="59" spans="3:9" s="5" customFormat="1" ht="15">
      <c r="C59"/>
      <c r="D59"/>
      <c r="E59"/>
      <c r="F59"/>
      <c r="G59"/>
      <c r="H59"/>
      <c r="I59"/>
    </row>
  </sheetData>
  <sheetProtection/>
  <mergeCells count="14">
    <mergeCell ref="C44:C48"/>
    <mergeCell ref="D44:D48"/>
    <mergeCell ref="E41:F41"/>
    <mergeCell ref="E40:F40"/>
    <mergeCell ref="C34:H34"/>
    <mergeCell ref="C35:F35"/>
    <mergeCell ref="C36:F36"/>
    <mergeCell ref="C37:H37"/>
    <mergeCell ref="C38:D38"/>
    <mergeCell ref="E38:G38"/>
    <mergeCell ref="E39:F39"/>
    <mergeCell ref="E42:F42"/>
    <mergeCell ref="C13:H13"/>
    <mergeCell ref="C21:H21"/>
  </mergeCells>
  <printOptions/>
  <pageMargins left="0.25" right="0.25" top="0.75" bottom="0.75" header="0.3" footer="0.3"/>
  <pageSetup horizontalDpi="600" verticalDpi="600" orientation="landscape" paperSize="9" scale="48" r:id="rId2"/>
  <rowBreaks count="1" manualBreakCount="1">
    <brk id="36" min="2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J54"/>
  <sheetViews>
    <sheetView view="pageBreakPreview" zoomScale="73" zoomScaleSheetLayoutView="73" zoomScalePageLayoutView="0" workbookViewId="0" topLeftCell="A45">
      <selection activeCell="C53" sqref="C53:F54"/>
    </sheetView>
  </sheetViews>
  <sheetFormatPr defaultColWidth="9.140625" defaultRowHeight="15"/>
  <cols>
    <col min="1" max="2" width="9.140625" style="45" customWidth="1"/>
    <col min="3" max="3" width="9.00390625" style="45" customWidth="1"/>
    <col min="4" max="5" width="37.8515625" style="45" customWidth="1"/>
    <col min="6" max="6" width="44.421875" style="45" customWidth="1"/>
    <col min="7" max="7" width="28.421875" style="45" customWidth="1"/>
    <col min="8" max="8" width="30.7109375" style="45" customWidth="1"/>
    <col min="9" max="9" width="9.140625" style="45" customWidth="1"/>
    <col min="10" max="10" width="11.421875" style="45" bestFit="1" customWidth="1"/>
    <col min="11" max="16384" width="9.140625" style="45" customWidth="1"/>
  </cols>
  <sheetData>
    <row r="1" spans="4:7" s="43" customFormat="1" ht="28.5">
      <c r="D1" s="44" t="s">
        <v>26</v>
      </c>
      <c r="E1" s="44"/>
      <c r="F1" s="44"/>
      <c r="G1" s="44"/>
    </row>
    <row r="2" spans="4:7" s="43" customFormat="1" ht="28.5">
      <c r="D2" s="44" t="s">
        <v>27</v>
      </c>
      <c r="E2" s="44"/>
      <c r="F2" s="44"/>
      <c r="G2" s="44"/>
    </row>
    <row r="3" spans="4:8" ht="18.75">
      <c r="D3" s="46" t="s">
        <v>28</v>
      </c>
      <c r="E3" s="46"/>
      <c r="F3" s="46"/>
      <c r="G3" s="46"/>
      <c r="H3" s="47"/>
    </row>
    <row r="4" spans="4:8" ht="18.75">
      <c r="D4" s="46" t="s">
        <v>29</v>
      </c>
      <c r="E4" s="46"/>
      <c r="F4" s="46"/>
      <c r="G4" s="46"/>
      <c r="H4" s="47"/>
    </row>
    <row r="5" spans="4:8" ht="15">
      <c r="D5" s="47"/>
      <c r="E5" s="47"/>
      <c r="F5" s="47"/>
      <c r="G5" s="47"/>
      <c r="H5" s="47"/>
    </row>
    <row r="6" spans="4:7" s="48" customFormat="1" ht="26.25">
      <c r="D6" s="43" t="s">
        <v>30</v>
      </c>
      <c r="E6" s="43"/>
      <c r="F6" s="43"/>
      <c r="G6" s="43"/>
    </row>
    <row r="7" spans="4:7" s="48" customFormat="1" ht="26.25">
      <c r="D7" s="43" t="s">
        <v>34</v>
      </c>
      <c r="E7" s="43"/>
      <c r="F7" s="43"/>
      <c r="G7" s="43"/>
    </row>
    <row r="8" spans="4:7" s="48" customFormat="1" ht="26.25">
      <c r="D8" s="43" t="s">
        <v>90</v>
      </c>
      <c r="E8" s="43"/>
      <c r="F8" s="43"/>
      <c r="G8" s="43"/>
    </row>
    <row r="9" spans="4:8" ht="15">
      <c r="D9" s="47"/>
      <c r="E9" s="47"/>
      <c r="F9" s="47"/>
      <c r="G9" s="47"/>
      <c r="H9" s="47"/>
    </row>
    <row r="10" spans="3:8" ht="21">
      <c r="C10" s="48" t="s">
        <v>36</v>
      </c>
      <c r="D10" s="47"/>
      <c r="E10" s="47"/>
      <c r="F10" s="47"/>
      <c r="G10" s="47"/>
      <c r="H10" s="47"/>
    </row>
    <row r="11" s="48" customFormat="1" ht="34.5" customHeight="1">
      <c r="H11" s="61" t="s">
        <v>20</v>
      </c>
    </row>
    <row r="12" spans="3:8" s="50" customFormat="1" ht="60.75">
      <c r="C12" s="49" t="s">
        <v>13</v>
      </c>
      <c r="D12" s="49" t="s">
        <v>14</v>
      </c>
      <c r="E12" s="49" t="s">
        <v>172</v>
      </c>
      <c r="F12" s="49" t="s">
        <v>15</v>
      </c>
      <c r="G12" s="49" t="s">
        <v>16</v>
      </c>
      <c r="H12" s="49" t="s">
        <v>185</v>
      </c>
    </row>
    <row r="13" spans="3:8" s="48" customFormat="1" ht="21">
      <c r="C13" s="145" t="s">
        <v>17</v>
      </c>
      <c r="D13" s="146"/>
      <c r="E13" s="146"/>
      <c r="F13" s="146"/>
      <c r="G13" s="146"/>
      <c r="H13" s="147"/>
    </row>
    <row r="14" spans="3:8" s="48" customFormat="1" ht="21">
      <c r="C14" s="15">
        <v>1</v>
      </c>
      <c r="D14" s="15" t="s">
        <v>18</v>
      </c>
      <c r="E14" s="51">
        <v>14814.32</v>
      </c>
      <c r="F14" s="51">
        <v>129760.71</v>
      </c>
      <c r="G14" s="51">
        <v>124424.24</v>
      </c>
      <c r="H14" s="51">
        <f>E14+F14-G14</f>
        <v>20150.789999999994</v>
      </c>
    </row>
    <row r="15" spans="3:8" s="48" customFormat="1" ht="21">
      <c r="C15" s="15">
        <v>2</v>
      </c>
      <c r="D15" s="15" t="s">
        <v>19</v>
      </c>
      <c r="E15" s="51">
        <v>4689.39</v>
      </c>
      <c r="F15" s="51">
        <v>40141.96</v>
      </c>
      <c r="G15" s="51">
        <v>38494.11</v>
      </c>
      <c r="H15" s="51">
        <f>E15+F15-G15</f>
        <v>6337.239999999998</v>
      </c>
    </row>
    <row r="16" spans="3:8" s="48" customFormat="1" ht="21">
      <c r="C16" s="15">
        <v>3</v>
      </c>
      <c r="D16" s="15" t="s">
        <v>193</v>
      </c>
      <c r="E16" s="51"/>
      <c r="F16" s="51">
        <f>1748.43+39700</f>
        <v>41448.43</v>
      </c>
      <c r="G16" s="51">
        <v>36169.67</v>
      </c>
      <c r="H16" s="51">
        <f>E16+F16-G16</f>
        <v>5278.760000000002</v>
      </c>
    </row>
    <row r="17" spans="3:8" s="48" customFormat="1" ht="42">
      <c r="C17" s="15">
        <v>4</v>
      </c>
      <c r="D17" s="82" t="s">
        <v>186</v>
      </c>
      <c r="E17" s="51"/>
      <c r="F17" s="51">
        <v>36434.19</v>
      </c>
      <c r="G17" s="51">
        <v>29807.46</v>
      </c>
      <c r="H17" s="51">
        <f>E17+F17-G17</f>
        <v>6626.730000000003</v>
      </c>
    </row>
    <row r="18" spans="3:8" s="48" customFormat="1" ht="41.25">
      <c r="C18" s="15"/>
      <c r="D18" s="52" t="s">
        <v>0</v>
      </c>
      <c r="E18" s="53">
        <f>SUM(E14:E17)</f>
        <v>19503.71</v>
      </c>
      <c r="F18" s="53">
        <f>SUM(F14:F17)</f>
        <v>247785.29</v>
      </c>
      <c r="G18" s="53">
        <f>SUM(G14:G17)</f>
        <v>228895.48</v>
      </c>
      <c r="H18" s="53">
        <f>SUM(H14:H17)</f>
        <v>38393.52</v>
      </c>
    </row>
    <row r="19" spans="3:8" s="48" customFormat="1" ht="21">
      <c r="C19" s="145" t="s">
        <v>21</v>
      </c>
      <c r="D19" s="146"/>
      <c r="E19" s="146"/>
      <c r="F19" s="146"/>
      <c r="G19" s="146"/>
      <c r="H19" s="147"/>
    </row>
    <row r="20" spans="3:8" s="48" customFormat="1" ht="21">
      <c r="C20" s="15">
        <v>5</v>
      </c>
      <c r="D20" s="15" t="s">
        <v>1</v>
      </c>
      <c r="E20" s="51">
        <v>39871.75</v>
      </c>
      <c r="F20" s="55">
        <f>339682.18-6283.58</f>
        <v>333398.6</v>
      </c>
      <c r="G20" s="55">
        <v>318090.36</v>
      </c>
      <c r="H20" s="55">
        <f>E20+F20-G20</f>
        <v>55179.98999999999</v>
      </c>
    </row>
    <row r="21" spans="3:8" s="48" customFormat="1" ht="21">
      <c r="C21" s="15">
        <v>6</v>
      </c>
      <c r="D21" s="56" t="s">
        <v>2</v>
      </c>
      <c r="E21" s="57">
        <v>5609.85</v>
      </c>
      <c r="F21" s="55">
        <v>52152.98</v>
      </c>
      <c r="G21" s="55">
        <v>49059.54</v>
      </c>
      <c r="H21" s="55">
        <f>E21+F21-G21</f>
        <v>8703.29</v>
      </c>
    </row>
    <row r="22" spans="3:8" s="48" customFormat="1" ht="21">
      <c r="C22" s="15">
        <v>7</v>
      </c>
      <c r="D22" s="56" t="s">
        <v>7</v>
      </c>
      <c r="E22" s="57">
        <v>18966.57</v>
      </c>
      <c r="F22" s="55">
        <v>153259.02</v>
      </c>
      <c r="G22" s="55">
        <v>146752.14</v>
      </c>
      <c r="H22" s="55">
        <f>E22+F22-G22</f>
        <v>25473.449999999983</v>
      </c>
    </row>
    <row r="23" spans="3:8" s="48" customFormat="1" ht="21">
      <c r="C23" s="15">
        <v>8</v>
      </c>
      <c r="D23" s="56" t="s">
        <v>3</v>
      </c>
      <c r="E23" s="57">
        <v>5544.26</v>
      </c>
      <c r="F23" s="55">
        <v>51026.38</v>
      </c>
      <c r="G23" s="55">
        <v>48196.28</v>
      </c>
      <c r="H23" s="55">
        <f>E23+F23-G23</f>
        <v>8374.36</v>
      </c>
    </row>
    <row r="24" spans="3:8" s="48" customFormat="1" ht="41.25">
      <c r="C24" s="15">
        <v>9</v>
      </c>
      <c r="D24" s="56" t="s">
        <v>4</v>
      </c>
      <c r="E24" s="57">
        <v>10502.66</v>
      </c>
      <c r="F24" s="55">
        <v>107706.74</v>
      </c>
      <c r="G24" s="55">
        <v>103556.22</v>
      </c>
      <c r="H24" s="55">
        <f>E24+F24-G24</f>
        <v>14653.180000000008</v>
      </c>
    </row>
    <row r="25" spans="3:8" s="48" customFormat="1" ht="41.25">
      <c r="C25" s="15"/>
      <c r="D25" s="52" t="s">
        <v>5</v>
      </c>
      <c r="E25" s="53">
        <f>SUM(E20:E24)</f>
        <v>80495.09</v>
      </c>
      <c r="F25" s="53">
        <f>SUM(F20:F24)</f>
        <v>697543.72</v>
      </c>
      <c r="G25" s="53">
        <f>SUM(G20:G24)</f>
        <v>665654.5399999999</v>
      </c>
      <c r="H25" s="53">
        <f>SUM(H20:H24)</f>
        <v>112384.26999999999</v>
      </c>
    </row>
    <row r="26" spans="3:8" s="48" customFormat="1" ht="41.25">
      <c r="C26" s="15"/>
      <c r="D26" s="52" t="s">
        <v>6</v>
      </c>
      <c r="E26" s="53">
        <f>E18+E25</f>
        <v>99998.79999999999</v>
      </c>
      <c r="F26" s="53">
        <f>F18+F25</f>
        <v>945329.01</v>
      </c>
      <c r="G26" s="53">
        <f>G18+G25</f>
        <v>894550.0199999999</v>
      </c>
      <c r="H26" s="53">
        <f>H18+H25</f>
        <v>150777.78999999998</v>
      </c>
    </row>
    <row r="27" spans="3:8" s="48" customFormat="1" ht="21">
      <c r="C27" s="58"/>
      <c r="D27" s="59"/>
      <c r="E27" s="59"/>
      <c r="F27" s="60"/>
      <c r="G27" s="60"/>
      <c r="H27" s="60"/>
    </row>
    <row r="28" spans="3:8" s="48" customFormat="1" ht="21">
      <c r="C28" s="58"/>
      <c r="D28" s="59"/>
      <c r="E28" s="59"/>
      <c r="F28" s="60"/>
      <c r="G28" s="60"/>
      <c r="H28" s="60"/>
    </row>
    <row r="29" spans="7:8" s="48" customFormat="1" ht="21">
      <c r="G29" s="61"/>
      <c r="H29" s="61" t="s">
        <v>22</v>
      </c>
    </row>
    <row r="30" spans="3:8" s="48" customFormat="1" ht="30.75" customHeight="1">
      <c r="C30" s="148" t="s">
        <v>259</v>
      </c>
      <c r="D30" s="149"/>
      <c r="E30" s="149"/>
      <c r="F30" s="149"/>
      <c r="G30" s="149"/>
      <c r="H30" s="150"/>
    </row>
    <row r="31" spans="3:8" s="63" customFormat="1" ht="63">
      <c r="C31" s="151" t="s">
        <v>260</v>
      </c>
      <c r="D31" s="152"/>
      <c r="E31" s="152"/>
      <c r="F31" s="153"/>
      <c r="G31" s="49" t="s">
        <v>23</v>
      </c>
      <c r="H31" s="62" t="s">
        <v>232</v>
      </c>
    </row>
    <row r="32" spans="3:8" s="48" customFormat="1" ht="213.75" customHeight="1">
      <c r="C32" s="178" t="s">
        <v>265</v>
      </c>
      <c r="D32" s="179"/>
      <c r="E32" s="179"/>
      <c r="F32" s="180"/>
      <c r="G32" s="65">
        <f>F14</f>
        <v>129760.71</v>
      </c>
      <c r="H32" s="65">
        <f>H14</f>
        <v>20150.789999999994</v>
      </c>
    </row>
    <row r="33" spans="3:8" s="48" customFormat="1" ht="49.5" customHeight="1">
      <c r="C33" s="148" t="s">
        <v>258</v>
      </c>
      <c r="D33" s="149"/>
      <c r="E33" s="149"/>
      <c r="F33" s="149"/>
      <c r="G33" s="149"/>
      <c r="H33" s="150"/>
    </row>
    <row r="34" spans="3:8" s="48" customFormat="1" ht="91.5" customHeight="1">
      <c r="C34" s="181" t="s">
        <v>261</v>
      </c>
      <c r="D34" s="182"/>
      <c r="E34" s="164" t="s">
        <v>260</v>
      </c>
      <c r="F34" s="165"/>
      <c r="G34" s="166"/>
      <c r="H34" s="111" t="s">
        <v>262</v>
      </c>
    </row>
    <row r="35" spans="3:8" s="48" customFormat="1" ht="21">
      <c r="C35" s="117"/>
      <c r="D35" s="119">
        <v>9202.88</v>
      </c>
      <c r="E35" s="144" t="s">
        <v>112</v>
      </c>
      <c r="F35" s="144"/>
      <c r="G35" s="67">
        <v>123</v>
      </c>
      <c r="H35" s="65"/>
    </row>
    <row r="36" spans="3:10" s="48" customFormat="1" ht="21">
      <c r="C36" s="118"/>
      <c r="D36" s="120"/>
      <c r="E36" s="144" t="s">
        <v>98</v>
      </c>
      <c r="F36" s="144"/>
      <c r="G36" s="67">
        <v>435</v>
      </c>
      <c r="H36" s="65"/>
      <c r="J36" s="84"/>
    </row>
    <row r="37" spans="3:8" s="48" customFormat="1" ht="21">
      <c r="C37" s="118"/>
      <c r="D37" s="121"/>
      <c r="E37" s="144" t="s">
        <v>113</v>
      </c>
      <c r="F37" s="144"/>
      <c r="G37" s="67">
        <v>3262.21</v>
      </c>
      <c r="H37" s="65"/>
    </row>
    <row r="38" spans="3:8" s="48" customFormat="1" ht="21">
      <c r="C38" s="118"/>
      <c r="D38" s="121"/>
      <c r="E38" s="144" t="s">
        <v>114</v>
      </c>
      <c r="F38" s="144"/>
      <c r="G38" s="67">
        <v>1258.37</v>
      </c>
      <c r="H38" s="65"/>
    </row>
    <row r="39" spans="3:8" s="48" customFormat="1" ht="21">
      <c r="C39" s="118"/>
      <c r="D39" s="121"/>
      <c r="E39" s="144" t="s">
        <v>115</v>
      </c>
      <c r="F39" s="144"/>
      <c r="G39" s="67">
        <v>314</v>
      </c>
      <c r="H39" s="65"/>
    </row>
    <row r="40" spans="3:8" s="48" customFormat="1" ht="21">
      <c r="C40" s="118"/>
      <c r="D40" s="121"/>
      <c r="E40" s="144" t="s">
        <v>100</v>
      </c>
      <c r="F40" s="144"/>
      <c r="G40" s="67">
        <v>2842</v>
      </c>
      <c r="H40" s="65"/>
    </row>
    <row r="41" spans="3:8" s="48" customFormat="1" ht="21">
      <c r="C41" s="118"/>
      <c r="D41" s="121"/>
      <c r="E41" s="144" t="s">
        <v>33</v>
      </c>
      <c r="F41" s="144"/>
      <c r="G41" s="67">
        <v>1140</v>
      </c>
      <c r="H41" s="65"/>
    </row>
    <row r="42" spans="3:8" s="48" customFormat="1" ht="21">
      <c r="C42" s="118"/>
      <c r="D42" s="121"/>
      <c r="E42" s="144" t="s">
        <v>117</v>
      </c>
      <c r="F42" s="144"/>
      <c r="G42" s="67">
        <v>485</v>
      </c>
      <c r="H42" s="65"/>
    </row>
    <row r="43" spans="3:8" s="48" customFormat="1" ht="21">
      <c r="C43" s="118"/>
      <c r="D43" s="121"/>
      <c r="E43" s="144" t="s">
        <v>118</v>
      </c>
      <c r="F43" s="144"/>
      <c r="G43" s="67">
        <v>549.42</v>
      </c>
      <c r="H43" s="65"/>
    </row>
    <row r="44" spans="3:8" s="48" customFormat="1" ht="21">
      <c r="C44" s="118"/>
      <c r="D44" s="121"/>
      <c r="E44" s="144" t="s">
        <v>119</v>
      </c>
      <c r="F44" s="144"/>
      <c r="G44" s="67">
        <v>1598</v>
      </c>
      <c r="H44" s="65"/>
    </row>
    <row r="45" spans="3:8" s="48" customFormat="1" ht="21">
      <c r="C45" s="118"/>
      <c r="D45" s="118"/>
      <c r="E45" s="177" t="s">
        <v>229</v>
      </c>
      <c r="F45" s="177"/>
      <c r="G45" s="74">
        <f>SUM(G35:G44)</f>
        <v>12007</v>
      </c>
      <c r="H45" s="74">
        <f>G15-G45</f>
        <v>26487.11</v>
      </c>
    </row>
    <row r="46" spans="3:8" s="48" customFormat="1" ht="21">
      <c r="C46" s="72"/>
      <c r="D46" s="72"/>
      <c r="E46" s="177" t="s">
        <v>230</v>
      </c>
      <c r="F46" s="177"/>
      <c r="G46" s="74"/>
      <c r="H46" s="74">
        <f>D35+H45</f>
        <v>35689.99</v>
      </c>
    </row>
    <row r="47" spans="3:8" s="48" customFormat="1" ht="21">
      <c r="C47" s="116">
        <v>3</v>
      </c>
      <c r="D47" s="115" t="s">
        <v>24</v>
      </c>
      <c r="E47" s="52"/>
      <c r="F47" s="76" t="s">
        <v>208</v>
      </c>
      <c r="G47" s="66"/>
      <c r="H47" s="15"/>
    </row>
    <row r="48" spans="3:8" s="48" customFormat="1" ht="21">
      <c r="C48" s="159"/>
      <c r="D48" s="157"/>
      <c r="E48" s="69"/>
      <c r="F48" s="76" t="s">
        <v>10</v>
      </c>
      <c r="G48" s="66"/>
      <c r="H48" s="15"/>
    </row>
    <row r="49" spans="3:8" s="48" customFormat="1" ht="21">
      <c r="C49" s="160"/>
      <c r="D49" s="158"/>
      <c r="E49" s="70"/>
      <c r="F49" s="76" t="s">
        <v>204</v>
      </c>
      <c r="G49" s="66"/>
      <c r="H49" s="15"/>
    </row>
    <row r="50" spans="3:8" s="48" customFormat="1" ht="21">
      <c r="C50" s="160"/>
      <c r="D50" s="158"/>
      <c r="E50" s="70"/>
      <c r="F50" s="76" t="s">
        <v>33</v>
      </c>
      <c r="G50" s="66"/>
      <c r="H50" s="15"/>
    </row>
    <row r="51" spans="3:8" s="48" customFormat="1" ht="21">
      <c r="C51" s="161"/>
      <c r="D51" s="161"/>
      <c r="E51" s="71"/>
      <c r="F51" s="76"/>
      <c r="G51" s="66"/>
      <c r="H51" s="15"/>
    </row>
    <row r="53" spans="3:4" ht="26.25">
      <c r="C53" s="43"/>
      <c r="D53" s="43"/>
    </row>
    <row r="54" spans="3:4" ht="26.25">
      <c r="C54" s="43"/>
      <c r="D54" s="43"/>
    </row>
  </sheetData>
  <sheetProtection/>
  <mergeCells count="22">
    <mergeCell ref="C13:H13"/>
    <mergeCell ref="C19:H19"/>
    <mergeCell ref="C48:C51"/>
    <mergeCell ref="D48:D51"/>
    <mergeCell ref="C30:H30"/>
    <mergeCell ref="C32:F32"/>
    <mergeCell ref="C31:F31"/>
    <mergeCell ref="C33:H33"/>
    <mergeCell ref="C34:D34"/>
    <mergeCell ref="E34:G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6" r:id="rId2"/>
  <rowBreaks count="1" manualBreakCount="1">
    <brk id="32" min="2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H67"/>
  <sheetViews>
    <sheetView view="pageBreakPreview" zoomScale="73" zoomScaleSheetLayoutView="73" zoomScalePageLayoutView="0" workbookViewId="0" topLeftCell="A37">
      <selection activeCell="C54" sqref="C54:F55"/>
    </sheetView>
  </sheetViews>
  <sheetFormatPr defaultColWidth="9.140625" defaultRowHeight="15"/>
  <cols>
    <col min="1" max="2" width="9.140625" style="45" customWidth="1"/>
    <col min="3" max="3" width="9.00390625" style="45" customWidth="1"/>
    <col min="4" max="4" width="46.00390625" style="45" customWidth="1"/>
    <col min="5" max="5" width="37.8515625" style="45" customWidth="1"/>
    <col min="6" max="6" width="44.421875" style="45" customWidth="1"/>
    <col min="7" max="7" width="34.140625" style="45" customWidth="1"/>
    <col min="8" max="8" width="30.421875" style="45" customWidth="1"/>
    <col min="9" max="16384" width="9.140625" style="45" customWidth="1"/>
  </cols>
  <sheetData>
    <row r="1" spans="4:7" s="43" customFormat="1" ht="28.5">
      <c r="D1" s="44" t="s">
        <v>26</v>
      </c>
      <c r="E1" s="44"/>
      <c r="F1" s="44"/>
      <c r="G1" s="44"/>
    </row>
    <row r="2" spans="4:7" s="43" customFormat="1" ht="28.5">
      <c r="D2" s="44" t="s">
        <v>27</v>
      </c>
      <c r="E2" s="44"/>
      <c r="F2" s="44"/>
      <c r="G2" s="44"/>
    </row>
    <row r="3" spans="4:8" ht="18.75">
      <c r="D3" s="46" t="s">
        <v>28</v>
      </c>
      <c r="E3" s="46"/>
      <c r="F3" s="46"/>
      <c r="G3" s="46"/>
      <c r="H3" s="47"/>
    </row>
    <row r="4" spans="4:8" ht="18.75">
      <c r="D4" s="46" t="s">
        <v>29</v>
      </c>
      <c r="E4" s="46"/>
      <c r="F4" s="46"/>
      <c r="G4" s="46"/>
      <c r="H4" s="47"/>
    </row>
    <row r="5" spans="4:8" ht="15">
      <c r="D5" s="47"/>
      <c r="E5" s="47"/>
      <c r="F5" s="47"/>
      <c r="G5" s="47"/>
      <c r="H5" s="47"/>
    </row>
    <row r="6" spans="4:7" s="48" customFormat="1" ht="26.25">
      <c r="D6" s="43" t="s">
        <v>30</v>
      </c>
      <c r="E6" s="43"/>
      <c r="F6" s="43"/>
      <c r="G6" s="43"/>
    </row>
    <row r="7" spans="4:7" s="48" customFormat="1" ht="26.25">
      <c r="D7" s="43" t="s">
        <v>37</v>
      </c>
      <c r="E7" s="43"/>
      <c r="F7" s="43"/>
      <c r="G7" s="43"/>
    </row>
    <row r="8" spans="4:7" s="48" customFormat="1" ht="26.25">
      <c r="D8" s="43" t="s">
        <v>90</v>
      </c>
      <c r="E8" s="43"/>
      <c r="F8" s="43"/>
      <c r="G8" s="43"/>
    </row>
    <row r="9" spans="4:8" ht="15">
      <c r="D9" s="47"/>
      <c r="E9" s="47"/>
      <c r="F9" s="47"/>
      <c r="G9" s="47"/>
      <c r="H9" s="47"/>
    </row>
    <row r="10" spans="3:8" ht="21">
      <c r="C10" s="48" t="s">
        <v>38</v>
      </c>
      <c r="D10" s="47"/>
      <c r="E10" s="47"/>
      <c r="F10" s="47"/>
      <c r="G10" s="47"/>
      <c r="H10" s="47"/>
    </row>
    <row r="11" s="48" customFormat="1" ht="34.5" customHeight="1">
      <c r="H11" s="61" t="s">
        <v>20</v>
      </c>
    </row>
    <row r="12" spans="3:8" s="50" customFormat="1" ht="40.5">
      <c r="C12" s="49" t="s">
        <v>13</v>
      </c>
      <c r="D12" s="49" t="s">
        <v>14</v>
      </c>
      <c r="E12" s="49" t="s">
        <v>172</v>
      </c>
      <c r="F12" s="49" t="s">
        <v>15</v>
      </c>
      <c r="G12" s="49" t="s">
        <v>16</v>
      </c>
      <c r="H12" s="49" t="s">
        <v>11</v>
      </c>
    </row>
    <row r="13" spans="3:8" s="48" customFormat="1" ht="21">
      <c r="C13" s="145" t="s">
        <v>17</v>
      </c>
      <c r="D13" s="146"/>
      <c r="E13" s="146"/>
      <c r="F13" s="146"/>
      <c r="G13" s="146"/>
      <c r="H13" s="147"/>
    </row>
    <row r="14" spans="3:8" s="48" customFormat="1" ht="21">
      <c r="C14" s="15">
        <v>1</v>
      </c>
      <c r="D14" s="15" t="s">
        <v>18</v>
      </c>
      <c r="E14" s="51">
        <v>51273.7</v>
      </c>
      <c r="F14" s="51">
        <f>327023.04-15535.39</f>
        <v>311487.64999999997</v>
      </c>
      <c r="G14" s="51">
        <v>296499.28</v>
      </c>
      <c r="H14" s="51">
        <f>E14+F14-G14</f>
        <v>66262.06999999995</v>
      </c>
    </row>
    <row r="15" spans="3:8" s="48" customFormat="1" ht="21">
      <c r="C15" s="15">
        <v>2</v>
      </c>
      <c r="D15" s="15" t="s">
        <v>193</v>
      </c>
      <c r="E15" s="51"/>
      <c r="F15" s="51">
        <v>22600</v>
      </c>
      <c r="G15" s="51">
        <v>17499.56</v>
      </c>
      <c r="H15" s="51">
        <f>E15+F15-G15</f>
        <v>5100.439999999999</v>
      </c>
    </row>
    <row r="16" spans="3:8" s="48" customFormat="1" ht="21">
      <c r="C16" s="15">
        <v>3</v>
      </c>
      <c r="D16" s="15" t="s">
        <v>19</v>
      </c>
      <c r="E16" s="51">
        <v>15876.72</v>
      </c>
      <c r="F16" s="51">
        <f>98653.11-883.59-12183.46</f>
        <v>85586.06</v>
      </c>
      <c r="G16" s="51">
        <v>95747.3</v>
      </c>
      <c r="H16" s="51">
        <f>E16+F16-G16</f>
        <v>5715.479999999996</v>
      </c>
    </row>
    <row r="17" spans="3:8" s="48" customFormat="1" ht="21" hidden="1">
      <c r="C17" s="15"/>
      <c r="D17" s="15" t="s">
        <v>250</v>
      </c>
      <c r="E17" s="51"/>
      <c r="F17" s="51"/>
      <c r="G17" s="51"/>
      <c r="H17" s="51">
        <f>E17+F17-G17</f>
        <v>0</v>
      </c>
    </row>
    <row r="18" spans="3:8" s="48" customFormat="1" ht="35.25" customHeight="1">
      <c r="C18" s="15"/>
      <c r="D18" s="52" t="s">
        <v>0</v>
      </c>
      <c r="E18" s="53">
        <f>SUM(E14:E16)</f>
        <v>67150.42</v>
      </c>
      <c r="F18" s="53">
        <f>SUM(F14:F17)</f>
        <v>419673.70999999996</v>
      </c>
      <c r="G18" s="53">
        <f>SUM(G14:G17)</f>
        <v>409746.14</v>
      </c>
      <c r="H18" s="53">
        <f>SUM(H14:H17)</f>
        <v>77077.98999999995</v>
      </c>
    </row>
    <row r="19" spans="3:8" s="48" customFormat="1" ht="21">
      <c r="C19" s="145" t="s">
        <v>21</v>
      </c>
      <c r="D19" s="146"/>
      <c r="E19" s="146"/>
      <c r="F19" s="146"/>
      <c r="G19" s="146"/>
      <c r="H19" s="147"/>
    </row>
    <row r="20" spans="3:8" s="48" customFormat="1" ht="21">
      <c r="C20" s="15">
        <v>4</v>
      </c>
      <c r="D20" s="15" t="s">
        <v>1</v>
      </c>
      <c r="E20" s="51">
        <v>115605.83</v>
      </c>
      <c r="F20" s="55">
        <f>737770.79-10169.05-8920.68</f>
        <v>718681.0599999999</v>
      </c>
      <c r="G20" s="55">
        <v>709140.17</v>
      </c>
      <c r="H20" s="55">
        <f>E20+F20-G20</f>
        <v>125146.71999999986</v>
      </c>
    </row>
    <row r="21" spans="3:8" s="48" customFormat="1" ht="21">
      <c r="C21" s="15">
        <v>5</v>
      </c>
      <c r="D21" s="56" t="s">
        <v>2</v>
      </c>
      <c r="E21" s="57">
        <v>21366.32</v>
      </c>
      <c r="F21" s="55">
        <f>116590.04-3669.28</f>
        <v>112920.76</v>
      </c>
      <c r="G21" s="55">
        <v>108376.01</v>
      </c>
      <c r="H21" s="55">
        <f>E21+F21-G21</f>
        <v>25911.069999999992</v>
      </c>
    </row>
    <row r="22" spans="3:8" s="48" customFormat="1" ht="21">
      <c r="C22" s="15">
        <v>6</v>
      </c>
      <c r="D22" s="56" t="s">
        <v>7</v>
      </c>
      <c r="E22" s="57">
        <v>50011.28</v>
      </c>
      <c r="F22" s="55">
        <f>273617.36-12909.27</f>
        <v>260708.09</v>
      </c>
      <c r="G22" s="55">
        <v>243965.81</v>
      </c>
      <c r="H22" s="55">
        <f>E22+F22-G22</f>
        <v>66753.56</v>
      </c>
    </row>
    <row r="23" spans="3:8" s="48" customFormat="1" ht="21">
      <c r="C23" s="15">
        <v>7</v>
      </c>
      <c r="D23" s="56" t="s">
        <v>3</v>
      </c>
      <c r="E23" s="57">
        <v>20577.08</v>
      </c>
      <c r="F23" s="55">
        <f>114159.54-3925.36</f>
        <v>110234.18</v>
      </c>
      <c r="G23" s="55">
        <v>105201.76</v>
      </c>
      <c r="H23" s="55">
        <f>E23+F23-G23</f>
        <v>25609.5</v>
      </c>
    </row>
    <row r="24" spans="3:8" s="48" customFormat="1" ht="41.25">
      <c r="C24" s="15"/>
      <c r="D24" s="52" t="s">
        <v>5</v>
      </c>
      <c r="E24" s="53">
        <f>SUM(E20:E23)</f>
        <v>207560.51</v>
      </c>
      <c r="F24" s="53">
        <f>SUM(F20:F23)</f>
        <v>1202544.0899999999</v>
      </c>
      <c r="G24" s="53">
        <f>SUM(G20:G23)</f>
        <v>1166683.75</v>
      </c>
      <c r="H24" s="53">
        <f>SUM(H20:H23)</f>
        <v>243420.84999999986</v>
      </c>
    </row>
    <row r="25" spans="3:8" s="48" customFormat="1" ht="41.25">
      <c r="C25" s="15"/>
      <c r="D25" s="52" t="s">
        <v>6</v>
      </c>
      <c r="E25" s="53">
        <f>E18+E24</f>
        <v>274710.93</v>
      </c>
      <c r="F25" s="53">
        <f>F18+F24</f>
        <v>1622217.7999999998</v>
      </c>
      <c r="G25" s="53">
        <f>G18+G24</f>
        <v>1576429.8900000001</v>
      </c>
      <c r="H25" s="53">
        <f>H18+H24</f>
        <v>320498.8399999998</v>
      </c>
    </row>
    <row r="26" spans="3:8" s="48" customFormat="1" ht="21">
      <c r="C26" s="58"/>
      <c r="D26" s="59"/>
      <c r="E26" s="59"/>
      <c r="F26" s="60"/>
      <c r="G26" s="60"/>
      <c r="H26" s="60"/>
    </row>
    <row r="27" spans="3:8" s="48" customFormat="1" ht="21">
      <c r="C27" s="58"/>
      <c r="D27" s="59"/>
      <c r="E27" s="59"/>
      <c r="F27" s="60"/>
      <c r="G27" s="60"/>
      <c r="H27" s="60"/>
    </row>
    <row r="28" spans="7:8" s="48" customFormat="1" ht="21">
      <c r="G28" s="61"/>
      <c r="H28" s="61" t="s">
        <v>22</v>
      </c>
    </row>
    <row r="29" spans="3:8" s="48" customFormat="1" ht="25.5">
      <c r="C29" s="148" t="s">
        <v>259</v>
      </c>
      <c r="D29" s="149"/>
      <c r="E29" s="149"/>
      <c r="F29" s="149"/>
      <c r="G29" s="149"/>
      <c r="H29" s="150"/>
    </row>
    <row r="30" spans="3:8" s="48" customFormat="1" ht="63">
      <c r="C30" s="151" t="s">
        <v>260</v>
      </c>
      <c r="D30" s="152"/>
      <c r="E30" s="152"/>
      <c r="F30" s="153"/>
      <c r="G30" s="49" t="s">
        <v>23</v>
      </c>
      <c r="H30" s="62" t="s">
        <v>232</v>
      </c>
    </row>
    <row r="31" spans="3:8" s="48" customFormat="1" ht="181.5" customHeight="1">
      <c r="C31" s="178" t="s">
        <v>265</v>
      </c>
      <c r="D31" s="179"/>
      <c r="E31" s="179"/>
      <c r="F31" s="180"/>
      <c r="G31" s="65">
        <f>F14</f>
        <v>311487.64999999997</v>
      </c>
      <c r="H31" s="65">
        <f>H14</f>
        <v>66262.06999999995</v>
      </c>
    </row>
    <row r="32" spans="3:8" s="48" customFormat="1" ht="25.5">
      <c r="C32" s="148" t="s">
        <v>258</v>
      </c>
      <c r="D32" s="149"/>
      <c r="E32" s="149"/>
      <c r="F32" s="149"/>
      <c r="G32" s="149"/>
      <c r="H32" s="150"/>
    </row>
    <row r="33" spans="3:8" s="63" customFormat="1" ht="63">
      <c r="C33" s="181" t="s">
        <v>261</v>
      </c>
      <c r="D33" s="182"/>
      <c r="E33" s="164" t="s">
        <v>260</v>
      </c>
      <c r="F33" s="165"/>
      <c r="G33" s="166"/>
      <c r="H33" s="111" t="s">
        <v>262</v>
      </c>
    </row>
    <row r="34" spans="3:8" s="48" customFormat="1" ht="21">
      <c r="C34" s="122"/>
      <c r="D34" s="119">
        <f>26447.1-38680.8</f>
        <v>-12233.700000000004</v>
      </c>
      <c r="E34" s="167" t="s">
        <v>121</v>
      </c>
      <c r="F34" s="168"/>
      <c r="G34" s="57">
        <v>300</v>
      </c>
      <c r="H34" s="51"/>
    </row>
    <row r="35" spans="3:8" s="48" customFormat="1" ht="21">
      <c r="C35" s="118"/>
      <c r="D35" s="121"/>
      <c r="E35" s="167" t="s">
        <v>122</v>
      </c>
      <c r="F35" s="168"/>
      <c r="G35" s="57">
        <v>246</v>
      </c>
      <c r="H35" s="51"/>
    </row>
    <row r="36" spans="3:8" s="48" customFormat="1" ht="21">
      <c r="C36" s="118"/>
      <c r="D36" s="121"/>
      <c r="E36" s="167" t="s">
        <v>45</v>
      </c>
      <c r="F36" s="168"/>
      <c r="G36" s="57">
        <v>13254</v>
      </c>
      <c r="H36" s="51"/>
    </row>
    <row r="37" spans="3:8" s="48" customFormat="1" ht="21">
      <c r="C37" s="118"/>
      <c r="D37" s="121"/>
      <c r="E37" s="167" t="s">
        <v>123</v>
      </c>
      <c r="F37" s="168"/>
      <c r="G37" s="57">
        <v>312</v>
      </c>
      <c r="H37" s="51"/>
    </row>
    <row r="38" spans="3:8" s="48" customFormat="1" ht="21">
      <c r="C38" s="118"/>
      <c r="D38" s="121"/>
      <c r="E38" s="167" t="s">
        <v>108</v>
      </c>
      <c r="F38" s="168"/>
      <c r="G38" s="57">
        <v>4134.33</v>
      </c>
      <c r="H38" s="51"/>
    </row>
    <row r="39" spans="3:8" s="48" customFormat="1" ht="21">
      <c r="C39" s="118"/>
      <c r="D39" s="121"/>
      <c r="E39" s="167" t="s">
        <v>124</v>
      </c>
      <c r="F39" s="168"/>
      <c r="G39" s="57">
        <v>6890.81</v>
      </c>
      <c r="H39" s="51"/>
    </row>
    <row r="40" spans="3:8" s="48" customFormat="1" ht="21">
      <c r="C40" s="118"/>
      <c r="D40" s="121"/>
      <c r="E40" s="167" t="s">
        <v>93</v>
      </c>
      <c r="F40" s="168"/>
      <c r="G40" s="57">
        <v>641.96</v>
      </c>
      <c r="H40" s="51"/>
    </row>
    <row r="41" spans="3:8" s="48" customFormat="1" ht="21">
      <c r="C41" s="118"/>
      <c r="D41" s="121"/>
      <c r="E41" s="167" t="s">
        <v>125</v>
      </c>
      <c r="F41" s="168"/>
      <c r="G41" s="57">
        <v>1364.64</v>
      </c>
      <c r="H41" s="51"/>
    </row>
    <row r="42" spans="3:8" s="48" customFormat="1" ht="21">
      <c r="C42" s="118"/>
      <c r="D42" s="121"/>
      <c r="E42" s="167" t="s">
        <v>126</v>
      </c>
      <c r="F42" s="168"/>
      <c r="G42" s="57">
        <v>512</v>
      </c>
      <c r="H42" s="51"/>
    </row>
    <row r="43" spans="3:8" s="48" customFormat="1" ht="21">
      <c r="C43" s="118"/>
      <c r="D43" s="121"/>
      <c r="E43" s="167" t="s">
        <v>120</v>
      </c>
      <c r="F43" s="168"/>
      <c r="G43" s="57">
        <v>85</v>
      </c>
      <c r="H43" s="51"/>
    </row>
    <row r="44" spans="3:8" s="48" customFormat="1" ht="21">
      <c r="C44" s="118"/>
      <c r="D44" s="121"/>
      <c r="E44" s="167" t="s">
        <v>127</v>
      </c>
      <c r="F44" s="168"/>
      <c r="G44" s="57">
        <v>2000</v>
      </c>
      <c r="H44" s="51"/>
    </row>
    <row r="45" spans="3:8" s="48" customFormat="1" ht="21">
      <c r="C45" s="118"/>
      <c r="D45" s="121"/>
      <c r="E45" s="167" t="s">
        <v>266</v>
      </c>
      <c r="F45" s="168"/>
      <c r="G45" s="57">
        <v>4810</v>
      </c>
      <c r="H45" s="51"/>
    </row>
    <row r="46" spans="3:8" s="48" customFormat="1" ht="21">
      <c r="C46" s="118"/>
      <c r="D46" s="121"/>
      <c r="E46" s="167" t="s">
        <v>267</v>
      </c>
      <c r="F46" s="168"/>
      <c r="G46" s="57">
        <v>3950</v>
      </c>
      <c r="H46" s="51"/>
    </row>
    <row r="47" spans="3:8" s="48" customFormat="1" ht="21">
      <c r="C47" s="118"/>
      <c r="D47" s="121"/>
      <c r="E47" s="167" t="s">
        <v>268</v>
      </c>
      <c r="F47" s="168"/>
      <c r="G47" s="57">
        <v>3423.46</v>
      </c>
      <c r="H47" s="51"/>
    </row>
    <row r="48" spans="3:8" s="48" customFormat="1" ht="21">
      <c r="C48" s="118"/>
      <c r="D48" s="118"/>
      <c r="E48" s="183" t="s">
        <v>229</v>
      </c>
      <c r="F48" s="184"/>
      <c r="G48" s="83">
        <f>SUM(G34:G47)</f>
        <v>41924.200000000004</v>
      </c>
      <c r="H48" s="83">
        <f>G16-G48</f>
        <v>53823.1</v>
      </c>
    </row>
    <row r="49" spans="3:8" s="48" customFormat="1" ht="21">
      <c r="C49" s="72"/>
      <c r="D49" s="72"/>
      <c r="E49" s="169" t="s">
        <v>230</v>
      </c>
      <c r="F49" s="170"/>
      <c r="G49" s="83"/>
      <c r="H49" s="83">
        <f>D34+H48</f>
        <v>41589.399999999994</v>
      </c>
    </row>
    <row r="50" spans="3:8" s="48" customFormat="1" ht="21">
      <c r="C50" s="116">
        <v>3</v>
      </c>
      <c r="D50" s="115" t="s">
        <v>24</v>
      </c>
      <c r="E50" s="52"/>
      <c r="F50" s="76" t="s">
        <v>233</v>
      </c>
      <c r="G50" s="85"/>
      <c r="H50" s="51"/>
    </row>
    <row r="51" spans="3:8" s="48" customFormat="1" ht="21">
      <c r="C51" s="158"/>
      <c r="D51" s="158"/>
      <c r="E51" s="70"/>
      <c r="F51" s="86" t="s">
        <v>10</v>
      </c>
      <c r="G51" s="85"/>
      <c r="H51" s="51"/>
    </row>
    <row r="52" spans="3:8" s="48" customFormat="1" ht="21">
      <c r="C52" s="161"/>
      <c r="D52" s="161"/>
      <c r="E52" s="71"/>
      <c r="F52" s="86" t="s">
        <v>234</v>
      </c>
      <c r="G52" s="85"/>
      <c r="H52" s="51"/>
    </row>
    <row r="53" spans="3:8" s="81" customFormat="1" ht="21">
      <c r="C53" s="48"/>
      <c r="G53" s="87"/>
      <c r="H53" s="87"/>
    </row>
    <row r="54" spans="3:8" s="79" customFormat="1" ht="26.25">
      <c r="C54" s="43"/>
      <c r="D54" s="43"/>
      <c r="E54" s="45"/>
      <c r="F54" s="45"/>
      <c r="G54" s="88"/>
      <c r="H54" s="88"/>
    </row>
    <row r="55" spans="3:8" ht="26.25">
      <c r="C55" s="43"/>
      <c r="D55" s="43"/>
      <c r="G55" s="89"/>
      <c r="H55" s="89"/>
    </row>
    <row r="56" spans="7:8" ht="15">
      <c r="G56" s="89"/>
      <c r="H56" s="89"/>
    </row>
    <row r="57" spans="7:8" ht="15">
      <c r="G57" s="89"/>
      <c r="H57" s="89"/>
    </row>
    <row r="58" spans="7:8" ht="15">
      <c r="G58" s="89"/>
      <c r="H58" s="89"/>
    </row>
    <row r="59" spans="7:8" ht="15">
      <c r="G59" s="89"/>
      <c r="H59" s="89"/>
    </row>
    <row r="60" spans="7:8" ht="15">
      <c r="G60" s="89"/>
      <c r="H60" s="89"/>
    </row>
    <row r="61" spans="7:8" ht="15">
      <c r="G61" s="89"/>
      <c r="H61" s="89"/>
    </row>
    <row r="62" spans="7:8" ht="15">
      <c r="G62" s="89"/>
      <c r="H62" s="89"/>
    </row>
    <row r="63" spans="7:8" ht="15">
      <c r="G63" s="89"/>
      <c r="H63" s="89"/>
    </row>
    <row r="64" spans="7:8" ht="15">
      <c r="G64" s="89"/>
      <c r="H64" s="89"/>
    </row>
    <row r="65" spans="7:8" ht="15">
      <c r="G65" s="89"/>
      <c r="H65" s="89"/>
    </row>
    <row r="66" spans="7:8" ht="15">
      <c r="G66" s="89"/>
      <c r="H66" s="89"/>
    </row>
    <row r="67" spans="7:8" ht="15">
      <c r="G67" s="89"/>
      <c r="H67" s="89"/>
    </row>
  </sheetData>
  <sheetProtection/>
  <mergeCells count="26">
    <mergeCell ref="C13:H13"/>
    <mergeCell ref="C19:H19"/>
    <mergeCell ref="C51:C52"/>
    <mergeCell ref="D51:D52"/>
    <mergeCell ref="E34:F34"/>
    <mergeCell ref="C29:H29"/>
    <mergeCell ref="C30:F30"/>
    <mergeCell ref="C31:F31"/>
    <mergeCell ref="C32:H32"/>
    <mergeCell ref="C33:D33"/>
    <mergeCell ref="E33:G33"/>
    <mergeCell ref="E35:F35"/>
    <mergeCell ref="E36:F36"/>
    <mergeCell ref="E37:F37"/>
    <mergeCell ref="E38:F38"/>
    <mergeCell ref="E39:F39"/>
    <mergeCell ref="E40:F40"/>
    <mergeCell ref="E41:F41"/>
    <mergeCell ref="E42:F42"/>
    <mergeCell ref="E44:F44"/>
    <mergeCell ref="E48:F48"/>
    <mergeCell ref="E49:F49"/>
    <mergeCell ref="E43:F43"/>
    <mergeCell ref="E45:F45"/>
    <mergeCell ref="E46:F46"/>
    <mergeCell ref="E47:F47"/>
  </mergeCells>
  <printOptions/>
  <pageMargins left="0.25" right="0.25" top="0.75" bottom="0.75" header="0.3" footer="0.3"/>
  <pageSetup horizontalDpi="600" verticalDpi="600" orientation="landscape" paperSize="9" scale="53" r:id="rId2"/>
  <rowBreaks count="1" manualBreakCount="1">
    <brk id="31" min="2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H50"/>
  <sheetViews>
    <sheetView view="pageBreakPreview" zoomScale="73" zoomScaleSheetLayoutView="73" zoomScalePageLayoutView="0" workbookViewId="0" topLeftCell="A39">
      <selection activeCell="C49" sqref="C49:G50"/>
    </sheetView>
  </sheetViews>
  <sheetFormatPr defaultColWidth="9.140625" defaultRowHeight="15"/>
  <cols>
    <col min="1" max="2" width="9.140625" style="45" customWidth="1"/>
    <col min="3" max="3" width="9.00390625" style="45" customWidth="1"/>
    <col min="4" max="5" width="37.8515625" style="45" customWidth="1"/>
    <col min="6" max="6" width="44.421875" style="45" customWidth="1"/>
    <col min="7" max="7" width="34.140625" style="45" customWidth="1"/>
    <col min="8" max="8" width="30.57421875" style="45" customWidth="1"/>
    <col min="9" max="16384" width="9.140625" style="45" customWidth="1"/>
  </cols>
  <sheetData>
    <row r="1" spans="4:7" s="43" customFormat="1" ht="28.5">
      <c r="D1" s="44" t="s">
        <v>26</v>
      </c>
      <c r="E1" s="44"/>
      <c r="F1" s="44"/>
      <c r="G1" s="44"/>
    </row>
    <row r="2" spans="4:7" s="43" customFormat="1" ht="28.5">
      <c r="D2" s="44" t="s">
        <v>27</v>
      </c>
      <c r="E2" s="44"/>
      <c r="F2" s="44"/>
      <c r="G2" s="44"/>
    </row>
    <row r="3" spans="4:8" ht="18.75">
      <c r="D3" s="46" t="s">
        <v>28</v>
      </c>
      <c r="E3" s="46"/>
      <c r="F3" s="46"/>
      <c r="G3" s="46"/>
      <c r="H3" s="47"/>
    </row>
    <row r="4" spans="4:8" ht="18.75">
      <c r="D4" s="46" t="s">
        <v>29</v>
      </c>
      <c r="E4" s="46"/>
      <c r="F4" s="46"/>
      <c r="G4" s="46"/>
      <c r="H4" s="47"/>
    </row>
    <row r="5" spans="4:8" ht="15">
      <c r="D5" s="47"/>
      <c r="E5" s="47"/>
      <c r="F5" s="47"/>
      <c r="G5" s="47"/>
      <c r="H5" s="47"/>
    </row>
    <row r="6" spans="4:7" s="48" customFormat="1" ht="26.25">
      <c r="D6" s="43" t="s">
        <v>30</v>
      </c>
      <c r="E6" s="43"/>
      <c r="F6" s="43"/>
      <c r="G6" s="43"/>
    </row>
    <row r="7" spans="4:7" s="48" customFormat="1" ht="26.25">
      <c r="D7" s="43" t="s">
        <v>41</v>
      </c>
      <c r="E7" s="43"/>
      <c r="F7" s="43"/>
      <c r="G7" s="43"/>
    </row>
    <row r="8" spans="4:7" s="48" customFormat="1" ht="26.25">
      <c r="D8" s="43" t="s">
        <v>90</v>
      </c>
      <c r="E8" s="43"/>
      <c r="F8" s="43"/>
      <c r="G8" s="43"/>
    </row>
    <row r="9" spans="4:8" ht="15">
      <c r="D9" s="47"/>
      <c r="E9" s="47"/>
      <c r="F9" s="47"/>
      <c r="G9" s="47"/>
      <c r="H9" s="47"/>
    </row>
    <row r="10" spans="3:8" ht="21">
      <c r="C10" s="48" t="s">
        <v>42</v>
      </c>
      <c r="D10" s="47"/>
      <c r="E10" s="47"/>
      <c r="F10" s="47"/>
      <c r="G10" s="47"/>
      <c r="H10" s="47"/>
    </row>
    <row r="11" s="48" customFormat="1" ht="34.5" customHeight="1">
      <c r="H11" s="61" t="s">
        <v>20</v>
      </c>
    </row>
    <row r="12" spans="3:8" s="50" customFormat="1" ht="40.5">
      <c r="C12" s="49" t="s">
        <v>13</v>
      </c>
      <c r="D12" s="49" t="s">
        <v>14</v>
      </c>
      <c r="E12" s="49" t="s">
        <v>172</v>
      </c>
      <c r="F12" s="49" t="s">
        <v>15</v>
      </c>
      <c r="G12" s="49" t="s">
        <v>16</v>
      </c>
      <c r="H12" s="49" t="s">
        <v>11</v>
      </c>
    </row>
    <row r="13" spans="3:8" s="48" customFormat="1" ht="21">
      <c r="C13" s="145" t="s">
        <v>17</v>
      </c>
      <c r="D13" s="146"/>
      <c r="E13" s="146"/>
      <c r="F13" s="146"/>
      <c r="G13" s="146"/>
      <c r="H13" s="147"/>
    </row>
    <row r="14" spans="3:8" s="48" customFormat="1" ht="21">
      <c r="C14" s="15">
        <v>1</v>
      </c>
      <c r="D14" s="15" t="s">
        <v>18</v>
      </c>
      <c r="E14" s="51">
        <v>6842.52</v>
      </c>
      <c r="F14" s="51">
        <v>45331.8</v>
      </c>
      <c r="G14" s="51">
        <v>43075.23</v>
      </c>
      <c r="H14" s="51">
        <f>E14+F14-G14</f>
        <v>9099.090000000004</v>
      </c>
    </row>
    <row r="15" spans="3:8" s="48" customFormat="1" ht="21">
      <c r="C15" s="15">
        <v>2</v>
      </c>
      <c r="D15" s="15" t="s">
        <v>19</v>
      </c>
      <c r="E15" s="51">
        <v>1982.37</v>
      </c>
      <c r="F15" s="51">
        <v>13086.84</v>
      </c>
      <c r="G15" s="51">
        <v>12435.4</v>
      </c>
      <c r="H15" s="51">
        <f>E15+F15-G15</f>
        <v>2633.8099999999995</v>
      </c>
    </row>
    <row r="16" spans="3:8" s="48" customFormat="1" ht="42">
      <c r="C16" s="15">
        <v>3</v>
      </c>
      <c r="D16" s="82" t="s">
        <v>186</v>
      </c>
      <c r="E16" s="51"/>
      <c r="F16" s="51">
        <v>4800</v>
      </c>
      <c r="G16" s="51">
        <v>3889.94</v>
      </c>
      <c r="H16" s="51">
        <f>E16+F16-G16</f>
        <v>910.06</v>
      </c>
    </row>
    <row r="17" spans="3:8" s="48" customFormat="1" ht="41.25">
      <c r="C17" s="15"/>
      <c r="D17" s="52" t="s">
        <v>0</v>
      </c>
      <c r="E17" s="53">
        <f>SUM(E14:E16)</f>
        <v>8824.89</v>
      </c>
      <c r="F17" s="53">
        <f>SUM(F14:F16)</f>
        <v>63218.64</v>
      </c>
      <c r="G17" s="53">
        <f>SUM(G14:G16)</f>
        <v>59400.57000000001</v>
      </c>
      <c r="H17" s="53">
        <f>SUM(H14:H16)</f>
        <v>12642.960000000003</v>
      </c>
    </row>
    <row r="18" spans="3:8" s="48" customFormat="1" ht="21">
      <c r="C18" s="145" t="s">
        <v>21</v>
      </c>
      <c r="D18" s="146"/>
      <c r="E18" s="146"/>
      <c r="F18" s="146"/>
      <c r="G18" s="146"/>
      <c r="H18" s="147"/>
    </row>
    <row r="19" spans="3:8" s="48" customFormat="1" ht="21">
      <c r="C19" s="15">
        <v>4</v>
      </c>
      <c r="D19" s="15" t="s">
        <v>1</v>
      </c>
      <c r="E19" s="51">
        <v>9559.56</v>
      </c>
      <c r="F19" s="55">
        <f>144746.16-7</f>
        <v>144739.16</v>
      </c>
      <c r="G19" s="55">
        <v>147009.98</v>
      </c>
      <c r="H19" s="55">
        <f>E19+F19-G19</f>
        <v>7288.739999999991</v>
      </c>
    </row>
    <row r="20" spans="3:8" s="48" customFormat="1" ht="21">
      <c r="C20" s="15">
        <v>5</v>
      </c>
      <c r="D20" s="56" t="s">
        <v>2</v>
      </c>
      <c r="E20" s="57">
        <v>3842.13</v>
      </c>
      <c r="F20" s="55">
        <v>27450.24</v>
      </c>
      <c r="G20" s="55">
        <v>22976.08</v>
      </c>
      <c r="H20" s="55">
        <f>E20+F20-G20</f>
        <v>8316.29</v>
      </c>
    </row>
    <row r="21" spans="3:8" s="48" customFormat="1" ht="21" hidden="1">
      <c r="C21" s="15"/>
      <c r="D21" s="56" t="s">
        <v>7</v>
      </c>
      <c r="E21" s="57"/>
      <c r="F21" s="55"/>
      <c r="G21" s="55"/>
      <c r="H21" s="55">
        <f>E21+F21-G21</f>
        <v>0</v>
      </c>
    </row>
    <row r="22" spans="3:8" s="48" customFormat="1" ht="21">
      <c r="C22" s="15">
        <v>6</v>
      </c>
      <c r="D22" s="56" t="s">
        <v>3</v>
      </c>
      <c r="E22" s="57">
        <v>2195.61</v>
      </c>
      <c r="F22" s="55">
        <v>16731.5</v>
      </c>
      <c r="G22" s="55">
        <v>13753.04</v>
      </c>
      <c r="H22" s="55">
        <f>E22+F22-G22</f>
        <v>5174.07</v>
      </c>
    </row>
    <row r="23" spans="3:8" s="48" customFormat="1" ht="41.25" hidden="1">
      <c r="C23" s="15">
        <v>7</v>
      </c>
      <c r="D23" s="56" t="s">
        <v>4</v>
      </c>
      <c r="E23" s="57"/>
      <c r="F23" s="55"/>
      <c r="G23" s="55"/>
      <c r="H23" s="55">
        <f>F23-G23</f>
        <v>0</v>
      </c>
    </row>
    <row r="24" spans="3:8" s="48" customFormat="1" ht="41.25">
      <c r="C24" s="15"/>
      <c r="D24" s="52" t="s">
        <v>5</v>
      </c>
      <c r="E24" s="53">
        <f>SUM(E19:E23)</f>
        <v>15597.3</v>
      </c>
      <c r="F24" s="53">
        <f>SUM(F19:F23)</f>
        <v>188920.9</v>
      </c>
      <c r="G24" s="53">
        <f>SUM(G19:G23)</f>
        <v>183739.1</v>
      </c>
      <c r="H24" s="53">
        <f>SUM(H19:H23)</f>
        <v>20779.09999999999</v>
      </c>
    </row>
    <row r="25" spans="3:8" s="48" customFormat="1" ht="41.25">
      <c r="C25" s="15"/>
      <c r="D25" s="52" t="s">
        <v>6</v>
      </c>
      <c r="E25" s="53">
        <f>E17+E24</f>
        <v>24422.19</v>
      </c>
      <c r="F25" s="53">
        <f>F17+F24</f>
        <v>252139.53999999998</v>
      </c>
      <c r="G25" s="53">
        <f>G17+G24</f>
        <v>243139.67</v>
      </c>
      <c r="H25" s="53">
        <f>H17+H24</f>
        <v>33422.06</v>
      </c>
    </row>
    <row r="26" spans="3:8" s="48" customFormat="1" ht="21">
      <c r="C26" s="58"/>
      <c r="D26" s="59"/>
      <c r="E26" s="59"/>
      <c r="F26" s="60"/>
      <c r="G26" s="60"/>
      <c r="H26" s="60"/>
    </row>
    <row r="27" spans="3:8" s="48" customFormat="1" ht="21">
      <c r="C27" s="58"/>
      <c r="D27" s="59"/>
      <c r="E27" s="59"/>
      <c r="F27" s="60"/>
      <c r="G27" s="60"/>
      <c r="H27" s="60"/>
    </row>
    <row r="28" spans="3:8" s="48" customFormat="1" ht="21">
      <c r="C28" s="58"/>
      <c r="D28" s="59"/>
      <c r="E28" s="59"/>
      <c r="F28" s="60"/>
      <c r="G28" s="60"/>
      <c r="H28" s="60"/>
    </row>
    <row r="29" spans="3:8" s="48" customFormat="1" ht="21">
      <c r="C29" s="58"/>
      <c r="D29" s="59"/>
      <c r="E29" s="59"/>
      <c r="F29" s="60"/>
      <c r="G29" s="60"/>
      <c r="H29" s="60"/>
    </row>
    <row r="30" spans="3:8" s="48" customFormat="1" ht="21">
      <c r="C30" s="58"/>
      <c r="D30" s="59"/>
      <c r="E30" s="59"/>
      <c r="F30" s="60"/>
      <c r="G30" s="60"/>
      <c r="H30" s="61" t="s">
        <v>22</v>
      </c>
    </row>
    <row r="31" spans="3:8" s="48" customFormat="1" ht="25.5">
      <c r="C31" s="148" t="s">
        <v>259</v>
      </c>
      <c r="D31" s="149"/>
      <c r="E31" s="149"/>
      <c r="F31" s="149"/>
      <c r="G31" s="149"/>
      <c r="H31" s="150"/>
    </row>
    <row r="32" spans="3:8" s="48" customFormat="1" ht="63">
      <c r="C32" s="151" t="s">
        <v>260</v>
      </c>
      <c r="D32" s="152"/>
      <c r="E32" s="152"/>
      <c r="F32" s="153"/>
      <c r="G32" s="49" t="s">
        <v>23</v>
      </c>
      <c r="H32" s="62" t="s">
        <v>232</v>
      </c>
    </row>
    <row r="33" spans="3:8" s="48" customFormat="1" ht="194.25" customHeight="1">
      <c r="C33" s="178" t="s">
        <v>265</v>
      </c>
      <c r="D33" s="179"/>
      <c r="E33" s="179"/>
      <c r="F33" s="180"/>
      <c r="G33" s="65">
        <f>F14</f>
        <v>45331.8</v>
      </c>
      <c r="H33" s="65">
        <f>H14</f>
        <v>9099.090000000004</v>
      </c>
    </row>
    <row r="34" spans="3:8" s="48" customFormat="1" ht="25.5">
      <c r="C34" s="148" t="s">
        <v>258</v>
      </c>
      <c r="D34" s="149"/>
      <c r="E34" s="149"/>
      <c r="F34" s="149"/>
      <c r="G34" s="149"/>
      <c r="H34" s="150"/>
    </row>
    <row r="35" spans="3:8" s="48" customFormat="1" ht="63">
      <c r="C35" s="181" t="s">
        <v>261</v>
      </c>
      <c r="D35" s="182"/>
      <c r="E35" s="164" t="s">
        <v>260</v>
      </c>
      <c r="F35" s="165"/>
      <c r="G35" s="166"/>
      <c r="H35" s="111" t="s">
        <v>262</v>
      </c>
    </row>
    <row r="36" spans="3:8" s="48" customFormat="1" ht="21">
      <c r="C36" s="122"/>
      <c r="D36" s="123">
        <f>3477.48</f>
        <v>3477.48</v>
      </c>
      <c r="E36" s="186" t="s">
        <v>108</v>
      </c>
      <c r="F36" s="168"/>
      <c r="G36" s="67">
        <v>529.45</v>
      </c>
      <c r="H36" s="65"/>
    </row>
    <row r="37" spans="3:8" s="48" customFormat="1" ht="21">
      <c r="C37" s="118"/>
      <c r="D37" s="124"/>
      <c r="E37" s="186" t="s">
        <v>93</v>
      </c>
      <c r="F37" s="168"/>
      <c r="G37" s="67">
        <v>89.16</v>
      </c>
      <c r="H37" s="65"/>
    </row>
    <row r="38" spans="3:8" s="48" customFormat="1" ht="21">
      <c r="C38" s="118"/>
      <c r="D38" s="124"/>
      <c r="E38" s="188" t="s">
        <v>113</v>
      </c>
      <c r="F38" s="189"/>
      <c r="G38" s="67">
        <v>882.44</v>
      </c>
      <c r="H38" s="65"/>
    </row>
    <row r="39" spans="3:8" s="48" customFormat="1" ht="21">
      <c r="C39" s="118"/>
      <c r="D39" s="125"/>
      <c r="E39" s="187" t="s">
        <v>229</v>
      </c>
      <c r="F39" s="184"/>
      <c r="G39" s="74">
        <f>SUM(G36:G38)</f>
        <v>1501.0500000000002</v>
      </c>
      <c r="H39" s="74">
        <f>G15-G39</f>
        <v>10934.349999999999</v>
      </c>
    </row>
    <row r="40" spans="3:8" s="48" customFormat="1" ht="21">
      <c r="C40" s="72"/>
      <c r="D40" s="114"/>
      <c r="E40" s="185" t="s">
        <v>230</v>
      </c>
      <c r="F40" s="170"/>
      <c r="G40" s="74"/>
      <c r="H40" s="74">
        <f>D36+H39</f>
        <v>14411.829999999998</v>
      </c>
    </row>
    <row r="41" spans="3:8" s="48" customFormat="1" ht="21">
      <c r="C41" s="116">
        <v>3</v>
      </c>
      <c r="D41" s="115" t="s">
        <v>24</v>
      </c>
      <c r="E41" s="52"/>
      <c r="F41" s="86" t="s">
        <v>208</v>
      </c>
      <c r="G41" s="66"/>
      <c r="H41" s="15"/>
    </row>
    <row r="42" spans="3:8" s="48" customFormat="1" ht="21">
      <c r="C42" s="159"/>
      <c r="D42" s="157"/>
      <c r="E42" s="69"/>
      <c r="F42" s="86" t="s">
        <v>10</v>
      </c>
      <c r="G42" s="66"/>
      <c r="H42" s="15"/>
    </row>
    <row r="43" spans="3:8" s="48" customFormat="1" ht="21">
      <c r="C43" s="158"/>
      <c r="D43" s="158"/>
      <c r="E43" s="70"/>
      <c r="F43" s="86" t="s">
        <v>205</v>
      </c>
      <c r="G43" s="66"/>
      <c r="H43" s="15"/>
    </row>
    <row r="44" spans="3:8" s="48" customFormat="1" ht="21">
      <c r="C44" s="158"/>
      <c r="D44" s="158"/>
      <c r="E44" s="70"/>
      <c r="F44" s="86"/>
      <c r="G44" s="66"/>
      <c r="H44" s="15"/>
    </row>
    <row r="45" spans="3:8" s="48" customFormat="1" ht="21">
      <c r="C45" s="158"/>
      <c r="D45" s="158"/>
      <c r="E45" s="70"/>
      <c r="F45" s="86"/>
      <c r="G45" s="66"/>
      <c r="H45" s="15"/>
    </row>
    <row r="46" spans="3:8" s="48" customFormat="1" ht="21">
      <c r="C46" s="161"/>
      <c r="D46" s="161"/>
      <c r="E46" s="71"/>
      <c r="F46" s="86"/>
      <c r="G46" s="66"/>
      <c r="H46" s="15"/>
    </row>
    <row r="47" spans="3:8" s="48" customFormat="1" ht="21">
      <c r="C47" s="90"/>
      <c r="D47" s="90"/>
      <c r="E47" s="90"/>
      <c r="F47" s="86"/>
      <c r="G47" s="66"/>
      <c r="H47" s="15"/>
    </row>
    <row r="48" s="81" customFormat="1" ht="21">
      <c r="C48" s="48"/>
    </row>
    <row r="49" spans="3:6" s="79" customFormat="1" ht="26.25">
      <c r="C49" s="43"/>
      <c r="D49" s="43"/>
      <c r="E49" s="45"/>
      <c r="F49" s="45"/>
    </row>
    <row r="50" spans="3:4" ht="26.25">
      <c r="C50" s="43"/>
      <c r="D50" s="43"/>
    </row>
  </sheetData>
  <sheetProtection/>
  <mergeCells count="15">
    <mergeCell ref="C42:C46"/>
    <mergeCell ref="D42:D46"/>
    <mergeCell ref="E38:F38"/>
    <mergeCell ref="C31:H31"/>
    <mergeCell ref="C32:F32"/>
    <mergeCell ref="C33:F33"/>
    <mergeCell ref="C34:H34"/>
    <mergeCell ref="C35:D35"/>
    <mergeCell ref="E40:F40"/>
    <mergeCell ref="E35:G35"/>
    <mergeCell ref="E36:F36"/>
    <mergeCell ref="E37:F37"/>
    <mergeCell ref="E39:F39"/>
    <mergeCell ref="C13:H13"/>
    <mergeCell ref="C18:H18"/>
  </mergeCells>
  <printOptions/>
  <pageMargins left="0.25" right="0.25" top="0.75" bottom="0.75" header="0.3" footer="0.3"/>
  <pageSetup horizontalDpi="600" verticalDpi="600" orientation="landscape" paperSize="9" scale="50" r:id="rId2"/>
  <rowBreaks count="1" manualBreakCount="1">
    <brk id="33" min="2" max="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H45"/>
  <sheetViews>
    <sheetView view="pageBreakPreview" zoomScale="73" zoomScaleSheetLayoutView="73" zoomScalePageLayoutView="0" workbookViewId="0" topLeftCell="B38">
      <selection activeCell="C44" sqref="C44:E45"/>
    </sheetView>
  </sheetViews>
  <sheetFormatPr defaultColWidth="9.140625" defaultRowHeight="15"/>
  <cols>
    <col min="1" max="2" width="9.140625" style="45" customWidth="1"/>
    <col min="3" max="3" width="9.00390625" style="45" customWidth="1"/>
    <col min="4" max="5" width="37.8515625" style="45" customWidth="1"/>
    <col min="6" max="6" width="44.421875" style="45" customWidth="1"/>
    <col min="7" max="7" width="34.140625" style="45" customWidth="1"/>
    <col min="8" max="8" width="30.140625" style="45" customWidth="1"/>
    <col min="9" max="16384" width="9.140625" style="45" customWidth="1"/>
  </cols>
  <sheetData>
    <row r="1" spans="4:7" s="43" customFormat="1" ht="28.5">
      <c r="D1" s="44" t="s">
        <v>26</v>
      </c>
      <c r="E1" s="44"/>
      <c r="F1" s="44"/>
      <c r="G1" s="44"/>
    </row>
    <row r="2" spans="4:7" s="43" customFormat="1" ht="28.5">
      <c r="D2" s="44" t="s">
        <v>27</v>
      </c>
      <c r="E2" s="44"/>
      <c r="F2" s="44"/>
      <c r="G2" s="44"/>
    </row>
    <row r="3" spans="4:8" ht="18.75">
      <c r="D3" s="46" t="s">
        <v>28</v>
      </c>
      <c r="E3" s="46"/>
      <c r="F3" s="46"/>
      <c r="G3" s="46"/>
      <c r="H3" s="47"/>
    </row>
    <row r="4" spans="4:8" ht="18.75">
      <c r="D4" s="46" t="s">
        <v>29</v>
      </c>
      <c r="E4" s="46"/>
      <c r="F4" s="46"/>
      <c r="G4" s="46"/>
      <c r="H4" s="47"/>
    </row>
    <row r="5" spans="4:8" ht="15">
      <c r="D5" s="47"/>
      <c r="E5" s="47"/>
      <c r="F5" s="47"/>
      <c r="G5" s="47"/>
      <c r="H5" s="47"/>
    </row>
    <row r="6" spans="4:7" s="48" customFormat="1" ht="26.25">
      <c r="D6" s="43" t="s">
        <v>30</v>
      </c>
      <c r="E6" s="43"/>
      <c r="F6" s="43"/>
      <c r="G6" s="43"/>
    </row>
    <row r="7" spans="4:7" s="48" customFormat="1" ht="26.25">
      <c r="D7" s="43" t="s">
        <v>43</v>
      </c>
      <c r="E7" s="43"/>
      <c r="F7" s="43"/>
      <c r="G7" s="43"/>
    </row>
    <row r="8" spans="4:7" s="48" customFormat="1" ht="26.25">
      <c r="D8" s="43" t="s">
        <v>163</v>
      </c>
      <c r="E8" s="43"/>
      <c r="F8" s="43"/>
      <c r="G8" s="43"/>
    </row>
    <row r="9" spans="4:8" ht="15">
      <c r="D9" s="47"/>
      <c r="E9" s="47"/>
      <c r="F9" s="47"/>
      <c r="G9" s="47"/>
      <c r="H9" s="47"/>
    </row>
    <row r="10" spans="3:8" ht="21">
      <c r="C10" s="48" t="s">
        <v>44</v>
      </c>
      <c r="D10" s="47"/>
      <c r="E10" s="47"/>
      <c r="F10" s="47"/>
      <c r="G10" s="47"/>
      <c r="H10" s="47"/>
    </row>
    <row r="11" s="48" customFormat="1" ht="34.5" customHeight="1">
      <c r="H11" s="61" t="s">
        <v>20</v>
      </c>
    </row>
    <row r="12" spans="3:8" s="50" customFormat="1" ht="40.5">
      <c r="C12" s="49" t="s">
        <v>13</v>
      </c>
      <c r="D12" s="49" t="s">
        <v>14</v>
      </c>
      <c r="E12" s="49" t="s">
        <v>172</v>
      </c>
      <c r="F12" s="49" t="s">
        <v>15</v>
      </c>
      <c r="G12" s="49" t="s">
        <v>16</v>
      </c>
      <c r="H12" s="49" t="s">
        <v>11</v>
      </c>
    </row>
    <row r="13" spans="3:8" s="48" customFormat="1" ht="21">
      <c r="C13" s="145" t="s">
        <v>17</v>
      </c>
      <c r="D13" s="146"/>
      <c r="E13" s="146"/>
      <c r="F13" s="146"/>
      <c r="G13" s="146"/>
      <c r="H13" s="147"/>
    </row>
    <row r="14" spans="3:8" s="48" customFormat="1" ht="21">
      <c r="C14" s="15">
        <v>1</v>
      </c>
      <c r="D14" s="15" t="s">
        <v>18</v>
      </c>
      <c r="E14" s="51">
        <v>4235.72</v>
      </c>
      <c r="F14" s="51">
        <f>40653.48+15.15</f>
        <v>40668.630000000005</v>
      </c>
      <c r="G14" s="51">
        <v>40860.94</v>
      </c>
      <c r="H14" s="51">
        <f>E14+F14-G14</f>
        <v>4043.4100000000035</v>
      </c>
    </row>
    <row r="15" spans="3:8" s="48" customFormat="1" ht="21">
      <c r="C15" s="15">
        <v>2</v>
      </c>
      <c r="D15" s="15" t="s">
        <v>19</v>
      </c>
      <c r="E15" s="51">
        <v>1222.78</v>
      </c>
      <c r="F15" s="51">
        <f>11640.37-135.8</f>
        <v>11504.570000000002</v>
      </c>
      <c r="G15" s="51">
        <v>11700.23</v>
      </c>
      <c r="H15" s="51">
        <f>E15+F15-G15</f>
        <v>1027.1200000000026</v>
      </c>
    </row>
    <row r="16" spans="3:8" s="48" customFormat="1" ht="42">
      <c r="C16" s="15">
        <v>3</v>
      </c>
      <c r="D16" s="82" t="s">
        <v>186</v>
      </c>
      <c r="E16" s="51"/>
      <c r="F16" s="51">
        <v>5398.68</v>
      </c>
      <c r="G16" s="51">
        <v>5411.79</v>
      </c>
      <c r="H16" s="51">
        <f>E16+F16-G16</f>
        <v>-13.109999999999673</v>
      </c>
    </row>
    <row r="17" spans="3:8" s="48" customFormat="1" ht="41.25">
      <c r="C17" s="15"/>
      <c r="D17" s="52" t="s">
        <v>0</v>
      </c>
      <c r="E17" s="53">
        <f>SUM(E14:E16)</f>
        <v>5458.5</v>
      </c>
      <c r="F17" s="53">
        <f>SUM(F14:F16)</f>
        <v>57571.880000000005</v>
      </c>
      <c r="G17" s="53">
        <f>SUM(G14:G16)</f>
        <v>57972.96</v>
      </c>
      <c r="H17" s="53">
        <f>SUM(H14:H16)</f>
        <v>5057.420000000006</v>
      </c>
    </row>
    <row r="18" spans="3:8" s="48" customFormat="1" ht="21">
      <c r="C18" s="145" t="s">
        <v>21</v>
      </c>
      <c r="D18" s="146"/>
      <c r="E18" s="146"/>
      <c r="F18" s="146"/>
      <c r="G18" s="146"/>
      <c r="H18" s="147"/>
    </row>
    <row r="19" spans="3:8" s="48" customFormat="1" ht="21">
      <c r="C19" s="15">
        <v>4</v>
      </c>
      <c r="D19" s="15" t="s">
        <v>1</v>
      </c>
      <c r="E19" s="51">
        <v>18701.28</v>
      </c>
      <c r="F19" s="55">
        <f>178576.32-2201.28</f>
        <v>176375.04</v>
      </c>
      <c r="G19" s="55">
        <v>184471.54</v>
      </c>
      <c r="H19" s="55">
        <f>E19+F19-G19</f>
        <v>10604.779999999999</v>
      </c>
    </row>
    <row r="20" spans="3:8" s="48" customFormat="1" ht="21">
      <c r="C20" s="15">
        <v>5</v>
      </c>
      <c r="D20" s="56" t="s">
        <v>2</v>
      </c>
      <c r="E20" s="57">
        <v>1665.51</v>
      </c>
      <c r="F20" s="55">
        <f>12847.14-654.04</f>
        <v>12193.099999999999</v>
      </c>
      <c r="G20" s="55">
        <v>13147.42</v>
      </c>
      <c r="H20" s="55">
        <f>E20+F20-G20</f>
        <v>711.1899999999987</v>
      </c>
    </row>
    <row r="21" spans="3:8" s="48" customFormat="1" ht="21" hidden="1">
      <c r="C21" s="15"/>
      <c r="D21" s="56" t="s">
        <v>7</v>
      </c>
      <c r="E21" s="57"/>
      <c r="F21" s="55"/>
      <c r="G21" s="55"/>
      <c r="H21" s="55">
        <f>E21+F21-G21</f>
        <v>0</v>
      </c>
    </row>
    <row r="22" spans="3:8" s="48" customFormat="1" ht="21">
      <c r="C22" s="15">
        <v>6</v>
      </c>
      <c r="D22" s="56" t="s">
        <v>3</v>
      </c>
      <c r="E22" s="57">
        <v>920.17</v>
      </c>
      <c r="F22" s="55">
        <f>8040.1-325.58</f>
        <v>7714.52</v>
      </c>
      <c r="G22" s="55">
        <v>8120.03</v>
      </c>
      <c r="H22" s="55">
        <f>E22+F22-G22</f>
        <v>514.6600000000008</v>
      </c>
    </row>
    <row r="23" spans="3:8" s="48" customFormat="1" ht="41.25" hidden="1">
      <c r="C23" s="15">
        <v>7</v>
      </c>
      <c r="D23" s="56" t="s">
        <v>4</v>
      </c>
      <c r="E23" s="57"/>
      <c r="F23" s="55"/>
      <c r="G23" s="55"/>
      <c r="H23" s="55">
        <f>F23-G23</f>
        <v>0</v>
      </c>
    </row>
    <row r="24" spans="3:8" s="48" customFormat="1" ht="41.25">
      <c r="C24" s="15"/>
      <c r="D24" s="52" t="s">
        <v>5</v>
      </c>
      <c r="E24" s="53">
        <f>SUM(E19:E23)</f>
        <v>21286.959999999995</v>
      </c>
      <c r="F24" s="53">
        <f>SUM(F19:F23)</f>
        <v>196282.66</v>
      </c>
      <c r="G24" s="53">
        <f>SUM(G19:G23)</f>
        <v>205738.99000000002</v>
      </c>
      <c r="H24" s="53">
        <f>SUM(H19:H23)</f>
        <v>11830.629999999997</v>
      </c>
    </row>
    <row r="25" spans="3:8" s="48" customFormat="1" ht="41.25">
      <c r="C25" s="15"/>
      <c r="D25" s="52" t="s">
        <v>6</v>
      </c>
      <c r="E25" s="53">
        <f>E17+E24</f>
        <v>26745.459999999995</v>
      </c>
      <c r="F25" s="53">
        <f>F17+F24</f>
        <v>253854.54</v>
      </c>
      <c r="G25" s="53">
        <f>G17+G24</f>
        <v>263711.95</v>
      </c>
      <c r="H25" s="53">
        <f>H17+H24</f>
        <v>16888.050000000003</v>
      </c>
    </row>
    <row r="26" spans="3:8" s="48" customFormat="1" ht="21">
      <c r="C26" s="58"/>
      <c r="D26" s="59"/>
      <c r="E26" s="59"/>
      <c r="F26" s="60"/>
      <c r="G26" s="60"/>
      <c r="H26" s="60"/>
    </row>
    <row r="27" spans="3:8" s="48" customFormat="1" ht="21">
      <c r="C27" s="58"/>
      <c r="D27" s="59"/>
      <c r="E27" s="59"/>
      <c r="F27" s="60"/>
      <c r="G27" s="60"/>
      <c r="H27" s="60"/>
    </row>
    <row r="28" spans="7:8" s="48" customFormat="1" ht="21">
      <c r="G28" s="61"/>
      <c r="H28" s="61" t="s">
        <v>22</v>
      </c>
    </row>
    <row r="29" spans="3:8" s="48" customFormat="1" ht="25.5">
      <c r="C29" s="148" t="s">
        <v>259</v>
      </c>
      <c r="D29" s="149"/>
      <c r="E29" s="149"/>
      <c r="F29" s="149"/>
      <c r="G29" s="149"/>
      <c r="H29" s="150"/>
    </row>
    <row r="30" spans="3:8" s="48" customFormat="1" ht="63">
      <c r="C30" s="151" t="s">
        <v>260</v>
      </c>
      <c r="D30" s="152"/>
      <c r="E30" s="152"/>
      <c r="F30" s="153"/>
      <c r="G30" s="49" t="s">
        <v>23</v>
      </c>
      <c r="H30" s="62" t="s">
        <v>232</v>
      </c>
    </row>
    <row r="31" spans="3:8" s="48" customFormat="1" ht="186.75" customHeight="1">
      <c r="C31" s="178" t="s">
        <v>265</v>
      </c>
      <c r="D31" s="179"/>
      <c r="E31" s="179"/>
      <c r="F31" s="180"/>
      <c r="G31" s="65">
        <f>F14</f>
        <v>40668.630000000005</v>
      </c>
      <c r="H31" s="65">
        <f>H14</f>
        <v>4043.4100000000035</v>
      </c>
    </row>
    <row r="32" spans="3:8" s="48" customFormat="1" ht="25.5">
      <c r="C32" s="148" t="s">
        <v>258</v>
      </c>
      <c r="D32" s="149"/>
      <c r="E32" s="149"/>
      <c r="F32" s="149"/>
      <c r="G32" s="149"/>
      <c r="H32" s="150"/>
    </row>
    <row r="33" spans="3:8" s="48" customFormat="1" ht="63">
      <c r="C33" s="181" t="s">
        <v>261</v>
      </c>
      <c r="D33" s="182"/>
      <c r="E33" s="164" t="s">
        <v>260</v>
      </c>
      <c r="F33" s="165"/>
      <c r="G33" s="166"/>
      <c r="H33" s="111" t="s">
        <v>262</v>
      </c>
    </row>
    <row r="34" spans="3:8" s="48" customFormat="1" ht="21">
      <c r="C34" s="122"/>
      <c r="D34" s="123">
        <f>3667.27-1520</f>
        <v>2147.27</v>
      </c>
      <c r="E34" s="186" t="s">
        <v>33</v>
      </c>
      <c r="F34" s="168"/>
      <c r="G34" s="57">
        <v>1054.9</v>
      </c>
      <c r="H34" s="51"/>
    </row>
    <row r="35" spans="3:8" s="48" customFormat="1" ht="21">
      <c r="C35" s="118"/>
      <c r="D35" s="124"/>
      <c r="E35" s="188" t="s">
        <v>93</v>
      </c>
      <c r="F35" s="189"/>
      <c r="G35" s="57">
        <v>80.45</v>
      </c>
      <c r="H35" s="51"/>
    </row>
    <row r="36" spans="3:8" s="48" customFormat="1" ht="21">
      <c r="C36" s="118"/>
      <c r="D36" s="125"/>
      <c r="E36" s="187" t="s">
        <v>229</v>
      </c>
      <c r="F36" s="184"/>
      <c r="G36" s="83">
        <f>SUM(G34:G35)</f>
        <v>1135.3500000000001</v>
      </c>
      <c r="H36" s="91">
        <f>G15-G36</f>
        <v>10564.88</v>
      </c>
    </row>
    <row r="37" spans="3:8" s="48" customFormat="1" ht="21">
      <c r="C37" s="72"/>
      <c r="D37" s="114"/>
      <c r="E37" s="185" t="s">
        <v>230</v>
      </c>
      <c r="F37" s="170"/>
      <c r="G37" s="83"/>
      <c r="H37" s="91">
        <f>H36+D34</f>
        <v>12712.15</v>
      </c>
    </row>
    <row r="38" spans="3:8" s="48" customFormat="1" ht="37.5">
      <c r="C38" s="116">
        <v>3</v>
      </c>
      <c r="D38" s="115" t="s">
        <v>24</v>
      </c>
      <c r="E38" s="52"/>
      <c r="F38" s="86" t="s">
        <v>235</v>
      </c>
      <c r="G38" s="66"/>
      <c r="H38" s="15"/>
    </row>
    <row r="39" spans="3:8" s="48" customFormat="1" ht="21">
      <c r="C39" s="190"/>
      <c r="D39" s="191"/>
      <c r="E39" s="90"/>
      <c r="F39" s="92" t="s">
        <v>209</v>
      </c>
      <c r="G39" s="66"/>
      <c r="H39" s="15"/>
    </row>
    <row r="40" spans="3:8" s="48" customFormat="1" ht="21">
      <c r="C40" s="191"/>
      <c r="D40" s="191"/>
      <c r="E40" s="90"/>
      <c r="F40" s="86" t="s">
        <v>10</v>
      </c>
      <c r="G40" s="66"/>
      <c r="H40" s="15"/>
    </row>
    <row r="41" spans="3:8" s="48" customFormat="1" ht="18.75" customHeight="1">
      <c r="C41" s="191"/>
      <c r="D41" s="191"/>
      <c r="E41" s="90"/>
      <c r="F41" s="86" t="s">
        <v>205</v>
      </c>
      <c r="G41" s="66"/>
      <c r="H41" s="15"/>
    </row>
    <row r="42" spans="3:8" s="58" customFormat="1" ht="21" hidden="1">
      <c r="C42" s="191"/>
      <c r="D42" s="191"/>
      <c r="E42" s="90"/>
      <c r="F42" s="86"/>
      <c r="G42" s="66"/>
      <c r="H42" s="15"/>
    </row>
    <row r="43" spans="3:8" s="58" customFormat="1" ht="21" hidden="1">
      <c r="C43" s="191"/>
      <c r="D43" s="191"/>
      <c r="E43" s="90"/>
      <c r="F43" s="86"/>
      <c r="G43" s="66"/>
      <c r="H43" s="15"/>
    </row>
    <row r="44" spans="3:7" s="58" customFormat="1" ht="66" customHeight="1">
      <c r="C44" s="43"/>
      <c r="D44" s="43"/>
      <c r="E44" s="45"/>
      <c r="F44" s="45"/>
      <c r="G44" s="93"/>
    </row>
    <row r="45" spans="3:6" s="81" customFormat="1" ht="26.25">
      <c r="C45" s="43"/>
      <c r="D45" s="43"/>
      <c r="E45" s="45"/>
      <c r="F45" s="45"/>
    </row>
    <row r="46" s="79" customFormat="1" ht="15"/>
  </sheetData>
  <sheetProtection/>
  <mergeCells count="14">
    <mergeCell ref="C39:C43"/>
    <mergeCell ref="D39:D43"/>
    <mergeCell ref="C29:H29"/>
    <mergeCell ref="C30:F30"/>
    <mergeCell ref="C31:F31"/>
    <mergeCell ref="C32:H32"/>
    <mergeCell ref="C33:D33"/>
    <mergeCell ref="E37:F37"/>
    <mergeCell ref="E33:G33"/>
    <mergeCell ref="E34:F34"/>
    <mergeCell ref="E35:F35"/>
    <mergeCell ref="E36:F36"/>
    <mergeCell ref="C13:H13"/>
    <mergeCell ref="C18:H18"/>
  </mergeCells>
  <printOptions/>
  <pageMargins left="0.25" right="0.25" top="0.75" bottom="0.75" header="0.3" footer="0.3"/>
  <pageSetup horizontalDpi="600" verticalDpi="600" orientation="landscape" paperSize="9" scale="67" r:id="rId2"/>
  <rowBreaks count="1" manualBreakCount="1">
    <brk id="2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H45"/>
  <sheetViews>
    <sheetView view="pageBreakPreview" zoomScale="73" zoomScaleSheetLayoutView="73" zoomScalePageLayoutView="0" workbookViewId="0" topLeftCell="A36">
      <selection activeCell="D44" sqref="D44:F45"/>
    </sheetView>
  </sheetViews>
  <sheetFormatPr defaultColWidth="9.140625" defaultRowHeight="15"/>
  <cols>
    <col min="3" max="3" width="9.00390625" style="0" customWidth="1"/>
    <col min="4" max="5" width="37.8515625" style="0" customWidth="1"/>
    <col min="6" max="6" width="44.421875" style="0" customWidth="1"/>
    <col min="7" max="7" width="34.140625" style="0" customWidth="1"/>
    <col min="8" max="8" width="32.140625" style="0" customWidth="1"/>
  </cols>
  <sheetData>
    <row r="1" spans="4:7" s="1" customFormat="1" ht="28.5">
      <c r="D1" s="21" t="s">
        <v>26</v>
      </c>
      <c r="E1" s="21"/>
      <c r="F1" s="21"/>
      <c r="G1" s="21"/>
    </row>
    <row r="2" spans="4:7" s="1" customFormat="1" ht="28.5">
      <c r="D2" s="21" t="s">
        <v>27</v>
      </c>
      <c r="E2" s="21"/>
      <c r="F2" s="21"/>
      <c r="G2" s="21"/>
    </row>
    <row r="3" spans="4:8" ht="18.75">
      <c r="D3" s="2" t="s">
        <v>28</v>
      </c>
      <c r="E3" s="2"/>
      <c r="F3" s="2"/>
      <c r="G3" s="2"/>
      <c r="H3" s="7"/>
    </row>
    <row r="4" spans="4:8" ht="18.75">
      <c r="D4" s="2" t="s">
        <v>29</v>
      </c>
      <c r="E4" s="2"/>
      <c r="F4" s="2"/>
      <c r="G4" s="2"/>
      <c r="H4" s="7"/>
    </row>
    <row r="5" spans="4:8" ht="15">
      <c r="D5" s="7"/>
      <c r="E5" s="7"/>
      <c r="F5" s="7"/>
      <c r="G5" s="7"/>
      <c r="H5" s="7"/>
    </row>
    <row r="6" spans="4:7" s="3" customFormat="1" ht="26.25">
      <c r="D6" s="1" t="s">
        <v>30</v>
      </c>
      <c r="E6" s="1"/>
      <c r="F6" s="1"/>
      <c r="G6" s="1"/>
    </row>
    <row r="7" spans="4:7" s="3" customFormat="1" ht="26.25">
      <c r="D7" s="1" t="s">
        <v>46</v>
      </c>
      <c r="E7" s="1"/>
      <c r="F7" s="1"/>
      <c r="G7" s="1"/>
    </row>
    <row r="8" spans="4:7" s="3" customFormat="1" ht="26.25">
      <c r="D8" s="1" t="s">
        <v>90</v>
      </c>
      <c r="E8" s="1"/>
      <c r="F8" s="1"/>
      <c r="G8" s="1"/>
    </row>
    <row r="9" spans="4:8" ht="15">
      <c r="D9" s="7"/>
      <c r="E9" s="7"/>
      <c r="F9" s="7"/>
      <c r="G9" s="7"/>
      <c r="H9" s="7"/>
    </row>
    <row r="10" spans="3:8" ht="21">
      <c r="C10" s="3" t="s">
        <v>47</v>
      </c>
      <c r="D10" s="7"/>
      <c r="E10" s="7"/>
      <c r="F10" s="7"/>
      <c r="G10" s="7"/>
      <c r="H10" s="7"/>
    </row>
    <row r="11" s="3" customFormat="1" ht="34.5" customHeight="1">
      <c r="H11" s="8" t="s">
        <v>20</v>
      </c>
    </row>
    <row r="12" spans="3:8" s="10" customFormat="1" ht="40.5">
      <c r="C12" s="9" t="s">
        <v>13</v>
      </c>
      <c r="D12" s="9" t="s">
        <v>14</v>
      </c>
      <c r="E12" s="9" t="s">
        <v>172</v>
      </c>
      <c r="F12" s="9" t="s">
        <v>15</v>
      </c>
      <c r="G12" s="9" t="s">
        <v>16</v>
      </c>
      <c r="H12" s="9" t="s">
        <v>11</v>
      </c>
    </row>
    <row r="13" spans="3:8" s="3" customFormat="1" ht="21">
      <c r="C13" s="198" t="s">
        <v>17</v>
      </c>
      <c r="D13" s="199"/>
      <c r="E13" s="199"/>
      <c r="F13" s="199"/>
      <c r="G13" s="199"/>
      <c r="H13" s="200"/>
    </row>
    <row r="14" spans="3:8" s="3" customFormat="1" ht="21">
      <c r="C14" s="11">
        <v>1</v>
      </c>
      <c r="D14" s="11" t="s">
        <v>18</v>
      </c>
      <c r="E14" s="31">
        <v>5664.11</v>
      </c>
      <c r="F14" s="31">
        <v>40241.04</v>
      </c>
      <c r="G14" s="31">
        <v>36852.24</v>
      </c>
      <c r="H14" s="31">
        <f>E14+F14-G14</f>
        <v>9052.910000000003</v>
      </c>
    </row>
    <row r="15" spans="3:8" s="3" customFormat="1" ht="21">
      <c r="C15" s="11">
        <v>2</v>
      </c>
      <c r="D15" s="11" t="s">
        <v>19</v>
      </c>
      <c r="E15" s="31">
        <v>1635.13</v>
      </c>
      <c r="F15" s="31">
        <v>11616.96</v>
      </c>
      <c r="G15" s="31">
        <v>10638.68</v>
      </c>
      <c r="H15" s="31">
        <f>E15+F15-G15</f>
        <v>2613.41</v>
      </c>
    </row>
    <row r="16" spans="3:8" s="3" customFormat="1" ht="42">
      <c r="C16" s="11">
        <v>3</v>
      </c>
      <c r="D16" s="29" t="s">
        <v>186</v>
      </c>
      <c r="E16" s="31"/>
      <c r="F16" s="31">
        <v>4800</v>
      </c>
      <c r="G16" s="31">
        <v>3866.43</v>
      </c>
      <c r="H16" s="31">
        <f>E16+F16-G16</f>
        <v>933.5700000000002</v>
      </c>
    </row>
    <row r="17" spans="3:8" s="3" customFormat="1" ht="41.25">
      <c r="C17" s="11"/>
      <c r="D17" s="4" t="s">
        <v>0</v>
      </c>
      <c r="E17" s="32">
        <f>SUM(E14:E16)</f>
        <v>7299.24</v>
      </c>
      <c r="F17" s="32">
        <f>SUM(F14:F16)</f>
        <v>56658</v>
      </c>
      <c r="G17" s="32">
        <f>SUM(G14:G16)</f>
        <v>51357.35</v>
      </c>
      <c r="H17" s="32">
        <f>SUM(H14:H16)</f>
        <v>12599.890000000003</v>
      </c>
    </row>
    <row r="18" spans="3:8" s="3" customFormat="1" ht="21">
      <c r="C18" s="198" t="s">
        <v>21</v>
      </c>
      <c r="D18" s="199"/>
      <c r="E18" s="199"/>
      <c r="F18" s="199"/>
      <c r="G18" s="199"/>
      <c r="H18" s="200"/>
    </row>
    <row r="19" spans="3:8" s="3" customFormat="1" ht="21">
      <c r="C19" s="11">
        <v>4</v>
      </c>
      <c r="D19" s="11" t="s">
        <v>1</v>
      </c>
      <c r="E19" s="31">
        <v>24662.25</v>
      </c>
      <c r="F19" s="34">
        <f>176763.84-95.97</f>
        <v>176667.87</v>
      </c>
      <c r="G19" s="34">
        <v>163883.58</v>
      </c>
      <c r="H19" s="34">
        <f>E19+F19-G19</f>
        <v>37446.54000000001</v>
      </c>
    </row>
    <row r="20" spans="3:8" s="3" customFormat="1" ht="21">
      <c r="C20" s="11">
        <v>5</v>
      </c>
      <c r="D20" s="14" t="s">
        <v>2</v>
      </c>
      <c r="E20" s="35">
        <v>3745.87</v>
      </c>
      <c r="F20" s="34">
        <v>25780.02</v>
      </c>
      <c r="G20" s="34">
        <v>24418.16</v>
      </c>
      <c r="H20" s="34">
        <f>E20+F20-G20</f>
        <v>5107.73</v>
      </c>
    </row>
    <row r="21" spans="3:8" s="3" customFormat="1" ht="21" hidden="1">
      <c r="C21" s="15"/>
      <c r="D21" s="14" t="s">
        <v>7</v>
      </c>
      <c r="E21" s="35"/>
      <c r="F21" s="34"/>
      <c r="G21" s="34"/>
      <c r="H21" s="34">
        <f>E21+F21-G21</f>
        <v>0</v>
      </c>
    </row>
    <row r="22" spans="3:8" s="3" customFormat="1" ht="21">
      <c r="C22" s="15">
        <v>6</v>
      </c>
      <c r="D22" s="14" t="s">
        <v>3</v>
      </c>
      <c r="E22" s="35">
        <v>2100.31</v>
      </c>
      <c r="F22" s="34">
        <v>15612.73</v>
      </c>
      <c r="G22" s="34">
        <v>14531.5</v>
      </c>
      <c r="H22" s="34">
        <f>E22+F22-G22</f>
        <v>3181.540000000001</v>
      </c>
    </row>
    <row r="23" spans="3:8" s="3" customFormat="1" ht="41.25" hidden="1">
      <c r="C23" s="15">
        <v>7</v>
      </c>
      <c r="D23" s="14" t="s">
        <v>4</v>
      </c>
      <c r="E23" s="35"/>
      <c r="F23" s="34"/>
      <c r="G23" s="34"/>
      <c r="H23" s="34">
        <f>F23-G23</f>
        <v>0</v>
      </c>
    </row>
    <row r="24" spans="3:8" s="3" customFormat="1" ht="41.25">
      <c r="C24" s="11"/>
      <c r="D24" s="4" t="s">
        <v>5</v>
      </c>
      <c r="E24" s="32">
        <f>SUM(E19:E23)</f>
        <v>30508.43</v>
      </c>
      <c r="F24" s="32">
        <f>SUM(F19:F23)</f>
        <v>218060.62</v>
      </c>
      <c r="G24" s="32">
        <f>SUM(G19:G23)</f>
        <v>202833.24</v>
      </c>
      <c r="H24" s="32">
        <f>SUM(H19:H23)</f>
        <v>45735.810000000005</v>
      </c>
    </row>
    <row r="25" spans="3:8" s="3" customFormat="1" ht="41.25">
      <c r="C25" s="11"/>
      <c r="D25" s="4" t="s">
        <v>6</v>
      </c>
      <c r="E25" s="32">
        <f>E17+E24</f>
        <v>37807.67</v>
      </c>
      <c r="F25" s="32">
        <f>F17+F24</f>
        <v>274718.62</v>
      </c>
      <c r="G25" s="32">
        <f>G17+G24</f>
        <v>254190.59</v>
      </c>
      <c r="H25" s="32">
        <f>H17+H24</f>
        <v>58335.70000000001</v>
      </c>
    </row>
    <row r="26" spans="3:8" s="3" customFormat="1" ht="21">
      <c r="C26" s="16"/>
      <c r="D26" s="17"/>
      <c r="E26" s="17"/>
      <c r="F26" s="18"/>
      <c r="G26" s="18"/>
      <c r="H26" s="18"/>
    </row>
    <row r="27" spans="3:8" s="3" customFormat="1" ht="21">
      <c r="C27" s="16"/>
      <c r="D27" s="17"/>
      <c r="E27" s="17"/>
      <c r="F27" s="18"/>
      <c r="G27" s="18"/>
      <c r="H27" s="18"/>
    </row>
    <row r="28" spans="7:8" s="3" customFormat="1" ht="21">
      <c r="G28" s="8"/>
      <c r="H28" s="8" t="s">
        <v>22</v>
      </c>
    </row>
    <row r="29" spans="3:8" s="3" customFormat="1" ht="36.75" customHeight="1">
      <c r="C29" s="148" t="s">
        <v>259</v>
      </c>
      <c r="D29" s="149"/>
      <c r="E29" s="149"/>
      <c r="F29" s="149"/>
      <c r="G29" s="149"/>
      <c r="H29" s="150"/>
    </row>
    <row r="30" spans="3:8" s="3" customFormat="1" ht="42">
      <c r="C30" s="151" t="s">
        <v>260</v>
      </c>
      <c r="D30" s="152"/>
      <c r="E30" s="152"/>
      <c r="F30" s="153"/>
      <c r="G30" s="49" t="s">
        <v>23</v>
      </c>
      <c r="H30" s="62" t="s">
        <v>232</v>
      </c>
    </row>
    <row r="31" spans="3:8" s="3" customFormat="1" ht="191.25" customHeight="1">
      <c r="C31" s="178" t="s">
        <v>265</v>
      </c>
      <c r="D31" s="179"/>
      <c r="E31" s="179"/>
      <c r="F31" s="180"/>
      <c r="G31" s="65">
        <f>F14</f>
        <v>40241.04</v>
      </c>
      <c r="H31" s="65">
        <f>H14</f>
        <v>9052.910000000003</v>
      </c>
    </row>
    <row r="32" spans="3:8" s="3" customFormat="1" ht="42.75" customHeight="1">
      <c r="C32" s="148" t="s">
        <v>258</v>
      </c>
      <c r="D32" s="149"/>
      <c r="E32" s="149"/>
      <c r="F32" s="149"/>
      <c r="G32" s="149"/>
      <c r="H32" s="150"/>
    </row>
    <row r="33" spans="3:8" s="3" customFormat="1" ht="63">
      <c r="C33" s="181" t="s">
        <v>261</v>
      </c>
      <c r="D33" s="182"/>
      <c r="E33" s="164" t="s">
        <v>260</v>
      </c>
      <c r="F33" s="165"/>
      <c r="G33" s="166"/>
      <c r="H33" s="111" t="s">
        <v>262</v>
      </c>
    </row>
    <row r="34" spans="3:8" s="3" customFormat="1" ht="21">
      <c r="C34" s="136"/>
      <c r="D34" s="131">
        <v>3205.27</v>
      </c>
      <c r="E34" s="194" t="s">
        <v>164</v>
      </c>
      <c r="F34" s="195"/>
      <c r="G34" s="35">
        <v>419</v>
      </c>
      <c r="H34" s="31"/>
    </row>
    <row r="35" spans="3:8" s="3" customFormat="1" ht="21">
      <c r="C35" s="129"/>
      <c r="D35" s="132"/>
      <c r="E35" s="194" t="s">
        <v>33</v>
      </c>
      <c r="F35" s="195"/>
      <c r="G35" s="35">
        <v>1054.9</v>
      </c>
      <c r="H35" s="31"/>
    </row>
    <row r="36" spans="3:8" s="3" customFormat="1" ht="21">
      <c r="C36" s="129"/>
      <c r="D36" s="132"/>
      <c r="E36" s="205" t="s">
        <v>93</v>
      </c>
      <c r="F36" s="195"/>
      <c r="G36" s="35">
        <v>79.35</v>
      </c>
      <c r="H36" s="31"/>
    </row>
    <row r="37" spans="3:8" s="3" customFormat="1" ht="21">
      <c r="C37" s="129"/>
      <c r="D37" s="133"/>
      <c r="E37" s="196" t="s">
        <v>229</v>
      </c>
      <c r="F37" s="197"/>
      <c r="G37" s="36">
        <f>SUM(G34:G36)</f>
        <v>1553.25</v>
      </c>
      <c r="H37" s="37">
        <f>G15-G37</f>
        <v>9085.43</v>
      </c>
    </row>
    <row r="38" spans="3:8" s="3" customFormat="1" ht="21">
      <c r="C38" s="130"/>
      <c r="D38" s="134"/>
      <c r="E38" s="192" t="s">
        <v>230</v>
      </c>
      <c r="F38" s="193"/>
      <c r="G38" s="36"/>
      <c r="H38" s="37">
        <f>H37+D34</f>
        <v>12290.7</v>
      </c>
    </row>
    <row r="39" spans="3:8" s="3" customFormat="1" ht="21">
      <c r="C39" s="135">
        <v>3</v>
      </c>
      <c r="D39" s="126" t="s">
        <v>24</v>
      </c>
      <c r="E39" s="4"/>
      <c r="F39" s="22" t="s">
        <v>10</v>
      </c>
      <c r="G39" s="19"/>
      <c r="H39" s="11"/>
    </row>
    <row r="40" spans="3:8" s="3" customFormat="1" ht="21">
      <c r="C40" s="201"/>
      <c r="D40" s="204"/>
      <c r="E40" s="26"/>
      <c r="F40" s="24" t="s">
        <v>200</v>
      </c>
      <c r="G40" s="19"/>
      <c r="H40" s="11"/>
    </row>
    <row r="41" spans="3:8" s="3" customFormat="1" ht="21">
      <c r="C41" s="202"/>
      <c r="D41" s="202"/>
      <c r="E41" s="27"/>
      <c r="F41" s="22" t="s">
        <v>39</v>
      </c>
      <c r="G41" s="19"/>
      <c r="H41" s="11"/>
    </row>
    <row r="42" spans="3:8" s="3" customFormat="1" ht="21">
      <c r="C42" s="203"/>
      <c r="D42" s="203"/>
      <c r="E42" s="28"/>
      <c r="F42" s="22" t="s">
        <v>234</v>
      </c>
      <c r="G42" s="19"/>
      <c r="H42" s="11"/>
    </row>
    <row r="43" s="6" customFormat="1" ht="21">
      <c r="C43" s="3"/>
    </row>
    <row r="44" spans="4:7" s="5" customFormat="1" ht="26.25">
      <c r="D44" s="1"/>
      <c r="E44" s="1"/>
      <c r="F44"/>
      <c r="G44"/>
    </row>
    <row r="45" spans="4:5" ht="26.25">
      <c r="D45" s="1"/>
      <c r="E45" s="1"/>
    </row>
  </sheetData>
  <sheetProtection/>
  <mergeCells count="15">
    <mergeCell ref="C40:C42"/>
    <mergeCell ref="D40:D42"/>
    <mergeCell ref="E36:F36"/>
    <mergeCell ref="C29:H29"/>
    <mergeCell ref="C30:F30"/>
    <mergeCell ref="C31:F31"/>
    <mergeCell ref="C32:H32"/>
    <mergeCell ref="C33:D33"/>
    <mergeCell ref="E38:F38"/>
    <mergeCell ref="E33:G33"/>
    <mergeCell ref="E34:F34"/>
    <mergeCell ref="E35:F35"/>
    <mergeCell ref="E37:F37"/>
    <mergeCell ref="C13:H13"/>
    <mergeCell ref="C18:H18"/>
  </mergeCells>
  <printOptions/>
  <pageMargins left="0.25" right="0.25" top="0.75" bottom="0.75" header="0.3" footer="0.3"/>
  <pageSetup horizontalDpi="600" verticalDpi="600" orientation="landscape" paperSize="9" scale="68" r:id="rId2"/>
  <rowBreaks count="1" manualBreakCount="1">
    <brk id="27" min="2" max="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I55"/>
  <sheetViews>
    <sheetView view="pageBreakPreview" zoomScale="73" zoomScaleSheetLayoutView="73" zoomScalePageLayoutView="0" workbookViewId="0" topLeftCell="C39">
      <selection activeCell="D54" sqref="D54:F55"/>
    </sheetView>
  </sheetViews>
  <sheetFormatPr defaultColWidth="9.140625" defaultRowHeight="15"/>
  <cols>
    <col min="1" max="2" width="9.140625" style="45" customWidth="1"/>
    <col min="3" max="3" width="9.00390625" style="45" customWidth="1"/>
    <col min="4" max="4" width="46.421875" style="45" customWidth="1"/>
    <col min="5" max="5" width="37.8515625" style="45" customWidth="1"/>
    <col min="6" max="6" width="44.421875" style="45" customWidth="1"/>
    <col min="7" max="7" width="34.140625" style="45" customWidth="1"/>
    <col min="8" max="8" width="30.421875" style="45" customWidth="1"/>
    <col min="9" max="9" width="26.140625" style="45" customWidth="1"/>
    <col min="10" max="16384" width="9.140625" style="45" customWidth="1"/>
  </cols>
  <sheetData>
    <row r="1" spans="4:7" s="43" customFormat="1" ht="28.5">
      <c r="D1" s="44" t="s">
        <v>26</v>
      </c>
      <c r="E1" s="44"/>
      <c r="F1" s="44"/>
      <c r="G1" s="44"/>
    </row>
    <row r="2" spans="4:7" s="43" customFormat="1" ht="28.5">
      <c r="D2" s="44" t="s">
        <v>27</v>
      </c>
      <c r="E2" s="44"/>
      <c r="F2" s="44"/>
      <c r="G2" s="44"/>
    </row>
    <row r="3" spans="4:8" ht="18.75">
      <c r="D3" s="46" t="s">
        <v>28</v>
      </c>
      <c r="E3" s="46"/>
      <c r="F3" s="46"/>
      <c r="G3" s="46"/>
      <c r="H3" s="47"/>
    </row>
    <row r="4" spans="4:8" ht="18.75">
      <c r="D4" s="46" t="s">
        <v>29</v>
      </c>
      <c r="E4" s="46"/>
      <c r="F4" s="46"/>
      <c r="G4" s="46"/>
      <c r="H4" s="47"/>
    </row>
    <row r="5" spans="4:8" ht="15">
      <c r="D5" s="47"/>
      <c r="E5" s="47"/>
      <c r="F5" s="47"/>
      <c r="G5" s="47"/>
      <c r="H5" s="47"/>
    </row>
    <row r="6" spans="4:7" s="48" customFormat="1" ht="26.25">
      <c r="D6" s="43" t="s">
        <v>30</v>
      </c>
      <c r="E6" s="43"/>
      <c r="F6" s="43"/>
      <c r="G6" s="43"/>
    </row>
    <row r="7" spans="4:7" s="48" customFormat="1" ht="26.25">
      <c r="D7" s="43" t="s">
        <v>48</v>
      </c>
      <c r="E7" s="43"/>
      <c r="F7" s="43"/>
      <c r="G7" s="43"/>
    </row>
    <row r="8" spans="4:7" s="48" customFormat="1" ht="26.25">
      <c r="D8" s="43" t="s">
        <v>90</v>
      </c>
      <c r="E8" s="43"/>
      <c r="F8" s="43"/>
      <c r="G8" s="43"/>
    </row>
    <row r="9" spans="4:8" ht="15">
      <c r="D9" s="47"/>
      <c r="E9" s="47"/>
      <c r="F9" s="47"/>
      <c r="G9" s="47"/>
      <c r="H9" s="47"/>
    </row>
    <row r="10" spans="3:8" ht="21">
      <c r="C10" s="48" t="s">
        <v>49</v>
      </c>
      <c r="D10" s="47"/>
      <c r="E10" s="47"/>
      <c r="F10" s="47"/>
      <c r="G10" s="47"/>
      <c r="H10" s="47"/>
    </row>
    <row r="11" s="48" customFormat="1" ht="34.5" customHeight="1">
      <c r="H11" s="61" t="s">
        <v>20</v>
      </c>
    </row>
    <row r="12" spans="3:8" s="50" customFormat="1" ht="40.5">
      <c r="C12" s="49" t="s">
        <v>13</v>
      </c>
      <c r="D12" s="49" t="s">
        <v>14</v>
      </c>
      <c r="E12" s="49" t="s">
        <v>172</v>
      </c>
      <c r="F12" s="49" t="s">
        <v>15</v>
      </c>
      <c r="G12" s="49" t="s">
        <v>16</v>
      </c>
      <c r="H12" s="49" t="s">
        <v>11</v>
      </c>
    </row>
    <row r="13" spans="3:8" s="48" customFormat="1" ht="21">
      <c r="C13" s="145" t="s">
        <v>17</v>
      </c>
      <c r="D13" s="146"/>
      <c r="E13" s="146"/>
      <c r="F13" s="146"/>
      <c r="G13" s="146"/>
      <c r="H13" s="147"/>
    </row>
    <row r="14" spans="3:8" s="48" customFormat="1" ht="21">
      <c r="C14" s="15">
        <v>1</v>
      </c>
      <c r="D14" s="15" t="s">
        <v>18</v>
      </c>
      <c r="E14" s="51">
        <v>11857.89</v>
      </c>
      <c r="F14" s="51">
        <v>73622.28</v>
      </c>
      <c r="G14" s="51">
        <f>67908.57-335.58</f>
        <v>67572.99</v>
      </c>
      <c r="H14" s="51">
        <f>E14+F14-G14</f>
        <v>17907.179999999993</v>
      </c>
    </row>
    <row r="15" spans="3:8" s="48" customFormat="1" ht="21">
      <c r="C15" s="15">
        <v>2</v>
      </c>
      <c r="D15" s="15" t="s">
        <v>19</v>
      </c>
      <c r="E15" s="51">
        <v>3423.22</v>
      </c>
      <c r="F15" s="51">
        <f>21253.8-14250</f>
        <v>7003.799999999999</v>
      </c>
      <c r="G15" s="51">
        <f>19604.4-96.89</f>
        <v>19507.510000000002</v>
      </c>
      <c r="H15" s="51">
        <f>E15+F15-G15</f>
        <v>-9080.490000000003</v>
      </c>
    </row>
    <row r="16" spans="3:8" s="48" customFormat="1" ht="21" hidden="1">
      <c r="C16" s="15">
        <v>3</v>
      </c>
      <c r="D16" s="15" t="s">
        <v>250</v>
      </c>
      <c r="E16" s="51"/>
      <c r="F16" s="51"/>
      <c r="G16" s="51"/>
      <c r="H16" s="51">
        <f>E16+F16-G16</f>
        <v>0</v>
      </c>
    </row>
    <row r="17" spans="3:8" s="48" customFormat="1" ht="21">
      <c r="C17" s="15"/>
      <c r="D17" s="52" t="s">
        <v>0</v>
      </c>
      <c r="E17" s="53">
        <f>SUM(E14:E15)</f>
        <v>15281.109999999999</v>
      </c>
      <c r="F17" s="53">
        <f>SUM(F14:F16)</f>
        <v>80626.08</v>
      </c>
      <c r="G17" s="53">
        <f>SUM(G14:G15)</f>
        <v>87080.5</v>
      </c>
      <c r="H17" s="53">
        <f>SUM(H14:H16)</f>
        <v>8826.68999999999</v>
      </c>
    </row>
    <row r="18" spans="3:8" s="48" customFormat="1" ht="21">
      <c r="C18" s="145" t="s">
        <v>21</v>
      </c>
      <c r="D18" s="146"/>
      <c r="E18" s="146"/>
      <c r="F18" s="146"/>
      <c r="G18" s="146"/>
      <c r="H18" s="147"/>
    </row>
    <row r="19" spans="3:8" s="48" customFormat="1" ht="21">
      <c r="C19" s="15">
        <v>4</v>
      </c>
      <c r="D19" s="15" t="s">
        <v>1</v>
      </c>
      <c r="E19" s="51">
        <v>51688.76</v>
      </c>
      <c r="F19" s="55">
        <f>323395.2-1290.55</f>
        <v>322104.65</v>
      </c>
      <c r="G19" s="55">
        <f>298941.82-723.05</f>
        <v>298218.77</v>
      </c>
      <c r="H19" s="55">
        <f>E19+F19-G19</f>
        <v>75574.64000000001</v>
      </c>
    </row>
    <row r="20" spans="3:8" s="48" customFormat="1" ht="21">
      <c r="C20" s="15">
        <v>5</v>
      </c>
      <c r="D20" s="56" t="s">
        <v>2</v>
      </c>
      <c r="E20" s="57">
        <v>10236.47</v>
      </c>
      <c r="F20" s="55">
        <v>65162.8</v>
      </c>
      <c r="G20" s="55">
        <f>59046.1-199.38</f>
        <v>58846.72</v>
      </c>
      <c r="H20" s="55">
        <f>E20+F20-G20</f>
        <v>16552.550000000003</v>
      </c>
    </row>
    <row r="21" spans="3:8" s="48" customFormat="1" ht="21" hidden="1">
      <c r="C21" s="15">
        <v>5</v>
      </c>
      <c r="D21" s="56" t="s">
        <v>7</v>
      </c>
      <c r="E21" s="57"/>
      <c r="F21" s="55"/>
      <c r="G21" s="55"/>
      <c r="H21" s="55">
        <f>E21+F21-G21</f>
        <v>0</v>
      </c>
    </row>
    <row r="22" spans="3:8" s="48" customFormat="1" ht="21">
      <c r="C22" s="15">
        <v>6</v>
      </c>
      <c r="D22" s="56" t="s">
        <v>3</v>
      </c>
      <c r="E22" s="57">
        <v>4445.34</v>
      </c>
      <c r="F22" s="55">
        <v>39310.54</v>
      </c>
      <c r="G22" s="55">
        <f>33892.93-174.49</f>
        <v>33718.44</v>
      </c>
      <c r="H22" s="55">
        <f>E22+F22-G22</f>
        <v>10037.440000000002</v>
      </c>
    </row>
    <row r="23" spans="3:8" s="48" customFormat="1" ht="21" hidden="1">
      <c r="C23" s="15">
        <v>7</v>
      </c>
      <c r="D23" s="56" t="s">
        <v>4</v>
      </c>
      <c r="E23" s="57"/>
      <c r="F23" s="55"/>
      <c r="G23" s="55"/>
      <c r="H23" s="55">
        <f>F23-G23</f>
        <v>0</v>
      </c>
    </row>
    <row r="24" spans="3:8" s="48" customFormat="1" ht="41.25">
      <c r="C24" s="15"/>
      <c r="D24" s="52" t="s">
        <v>5</v>
      </c>
      <c r="E24" s="53">
        <f>SUM(E19:E23)</f>
        <v>66370.57</v>
      </c>
      <c r="F24" s="53">
        <f>SUM(F19:F23)</f>
        <v>426577.99</v>
      </c>
      <c r="G24" s="53">
        <f>SUM(G19:G23)</f>
        <v>390783.93</v>
      </c>
      <c r="H24" s="53">
        <f>SUM(H19:H23)</f>
        <v>102164.63000000002</v>
      </c>
    </row>
    <row r="25" spans="3:8" s="48" customFormat="1" ht="41.25">
      <c r="C25" s="15"/>
      <c r="D25" s="52" t="s">
        <v>6</v>
      </c>
      <c r="E25" s="53">
        <f>E17+E24</f>
        <v>81651.68000000001</v>
      </c>
      <c r="F25" s="53">
        <f>F17+F24</f>
        <v>507204.07</v>
      </c>
      <c r="G25" s="53">
        <f>G17+G24</f>
        <v>477864.43</v>
      </c>
      <c r="H25" s="53">
        <f>H17+H24</f>
        <v>110991.32</v>
      </c>
    </row>
    <row r="26" spans="3:9" s="48" customFormat="1" ht="21">
      <c r="C26" s="58"/>
      <c r="D26" s="59"/>
      <c r="E26" s="59"/>
      <c r="F26" s="60"/>
      <c r="G26" s="60"/>
      <c r="H26" s="60"/>
      <c r="I26" s="94"/>
    </row>
    <row r="27" spans="3:8" s="48" customFormat="1" ht="21">
      <c r="C27" s="58"/>
      <c r="D27" s="59"/>
      <c r="E27" s="59"/>
      <c r="F27" s="60"/>
      <c r="G27" s="60"/>
      <c r="H27" s="60"/>
    </row>
    <row r="28" spans="3:8" s="48" customFormat="1" ht="21">
      <c r="C28" s="58"/>
      <c r="D28" s="59"/>
      <c r="E28" s="59"/>
      <c r="F28" s="60"/>
      <c r="G28" s="60"/>
      <c r="H28" s="60"/>
    </row>
    <row r="29" spans="3:8" s="48" customFormat="1" ht="21">
      <c r="C29" s="58"/>
      <c r="D29" s="59"/>
      <c r="E29" s="59"/>
      <c r="F29" s="60"/>
      <c r="G29" s="60"/>
      <c r="H29" s="60"/>
    </row>
    <row r="30" spans="3:8" s="48" customFormat="1" ht="21">
      <c r="C30" s="58"/>
      <c r="D30" s="59"/>
      <c r="E30" s="59"/>
      <c r="F30" s="60"/>
      <c r="G30" s="60"/>
      <c r="H30" s="61" t="s">
        <v>22</v>
      </c>
    </row>
    <row r="31" spans="3:8" s="48" customFormat="1" ht="25.5">
      <c r="C31" s="148" t="s">
        <v>259</v>
      </c>
      <c r="D31" s="149"/>
      <c r="E31" s="149"/>
      <c r="F31" s="149"/>
      <c r="G31" s="149"/>
      <c r="H31" s="150"/>
    </row>
    <row r="32" spans="3:8" s="48" customFormat="1" ht="63">
      <c r="C32" s="151" t="s">
        <v>260</v>
      </c>
      <c r="D32" s="152"/>
      <c r="E32" s="152"/>
      <c r="F32" s="153"/>
      <c r="G32" s="49" t="s">
        <v>23</v>
      </c>
      <c r="H32" s="62" t="s">
        <v>232</v>
      </c>
    </row>
    <row r="33" spans="3:8" s="48" customFormat="1" ht="185.25" customHeight="1">
      <c r="C33" s="178" t="s">
        <v>265</v>
      </c>
      <c r="D33" s="179"/>
      <c r="E33" s="179"/>
      <c r="F33" s="180"/>
      <c r="G33" s="65">
        <f>F14</f>
        <v>73622.28</v>
      </c>
      <c r="H33" s="65">
        <f>H14</f>
        <v>17907.179999999993</v>
      </c>
    </row>
    <row r="34" spans="3:8" s="48" customFormat="1" ht="25.5">
      <c r="C34" s="148" t="s">
        <v>258</v>
      </c>
      <c r="D34" s="149"/>
      <c r="E34" s="149"/>
      <c r="F34" s="149"/>
      <c r="G34" s="149"/>
      <c r="H34" s="150"/>
    </row>
    <row r="35" spans="3:8" s="48" customFormat="1" ht="87.75" customHeight="1">
      <c r="C35" s="181" t="s">
        <v>261</v>
      </c>
      <c r="D35" s="182"/>
      <c r="E35" s="164" t="s">
        <v>260</v>
      </c>
      <c r="F35" s="165"/>
      <c r="G35" s="166"/>
      <c r="H35" s="111" t="s">
        <v>262</v>
      </c>
    </row>
    <row r="36" spans="3:8" s="48" customFormat="1" ht="21">
      <c r="C36" s="122"/>
      <c r="D36" s="123">
        <v>5432.53</v>
      </c>
      <c r="E36" s="167" t="s">
        <v>93</v>
      </c>
      <c r="F36" s="168"/>
      <c r="G36" s="57">
        <v>150.96</v>
      </c>
      <c r="H36" s="51"/>
    </row>
    <row r="37" spans="3:8" s="48" customFormat="1" ht="21">
      <c r="C37" s="118"/>
      <c r="D37" s="124"/>
      <c r="E37" s="167" t="s">
        <v>165</v>
      </c>
      <c r="F37" s="168"/>
      <c r="G37" s="57">
        <v>1000</v>
      </c>
      <c r="H37" s="51"/>
    </row>
    <row r="38" spans="3:8" s="48" customFormat="1" ht="21">
      <c r="C38" s="118"/>
      <c r="D38" s="124"/>
      <c r="E38" s="167" t="s">
        <v>166</v>
      </c>
      <c r="F38" s="168"/>
      <c r="G38" s="57">
        <v>450</v>
      </c>
      <c r="H38" s="51"/>
    </row>
    <row r="39" spans="3:8" s="48" customFormat="1" ht="21">
      <c r="C39" s="118"/>
      <c r="D39" s="124"/>
      <c r="E39" s="167" t="s">
        <v>134</v>
      </c>
      <c r="F39" s="168"/>
      <c r="G39" s="57">
        <v>150</v>
      </c>
      <c r="H39" s="51"/>
    </row>
    <row r="40" spans="3:8" s="48" customFormat="1" ht="21">
      <c r="C40" s="118"/>
      <c r="D40" s="124"/>
      <c r="E40" s="167" t="s">
        <v>270</v>
      </c>
      <c r="F40" s="168"/>
      <c r="G40" s="57">
        <v>11625</v>
      </c>
      <c r="H40" s="51"/>
    </row>
    <row r="41" spans="3:8" s="48" customFormat="1" ht="21">
      <c r="C41" s="118"/>
      <c r="D41" s="124"/>
      <c r="E41" s="167" t="s">
        <v>271</v>
      </c>
      <c r="F41" s="168"/>
      <c r="G41" s="57">
        <v>2625</v>
      </c>
      <c r="H41" s="51"/>
    </row>
    <row r="42" spans="3:8" s="48" customFormat="1" ht="21">
      <c r="C42" s="118"/>
      <c r="D42" s="125"/>
      <c r="E42" s="183" t="s">
        <v>229</v>
      </c>
      <c r="F42" s="184"/>
      <c r="G42" s="83">
        <f>SUM(G36:G41)</f>
        <v>16000.96</v>
      </c>
      <c r="H42" s="91">
        <f>G15-G42</f>
        <v>3506.550000000003</v>
      </c>
    </row>
    <row r="43" spans="3:8" s="48" customFormat="1" ht="21">
      <c r="C43" s="72"/>
      <c r="D43" s="114"/>
      <c r="E43" s="169" t="s">
        <v>230</v>
      </c>
      <c r="F43" s="170"/>
      <c r="G43" s="83"/>
      <c r="H43" s="91">
        <f>H42+D36</f>
        <v>8939.080000000002</v>
      </c>
    </row>
    <row r="44" spans="3:8" s="48" customFormat="1" ht="36">
      <c r="C44" s="116">
        <v>3</v>
      </c>
      <c r="D44" s="115" t="s">
        <v>24</v>
      </c>
      <c r="E44" s="52"/>
      <c r="F44" s="76" t="s">
        <v>210</v>
      </c>
      <c r="G44" s="66"/>
      <c r="H44" s="15"/>
    </row>
    <row r="45" spans="3:8" s="48" customFormat="1" ht="21">
      <c r="C45" s="159"/>
      <c r="D45" s="157"/>
      <c r="E45" s="69"/>
      <c r="F45" s="76" t="s">
        <v>211</v>
      </c>
      <c r="G45" s="66"/>
      <c r="H45" s="15"/>
    </row>
    <row r="46" spans="3:8" s="48" customFormat="1" ht="21">
      <c r="C46" s="158"/>
      <c r="D46" s="158"/>
      <c r="E46" s="70"/>
      <c r="F46" s="86" t="s">
        <v>205</v>
      </c>
      <c r="G46" s="66"/>
      <c r="H46" s="15"/>
    </row>
    <row r="47" spans="3:8" s="48" customFormat="1" ht="21">
      <c r="C47" s="158"/>
      <c r="D47" s="158"/>
      <c r="E47" s="70"/>
      <c r="F47" s="76"/>
      <c r="G47" s="66"/>
      <c r="H47" s="15"/>
    </row>
    <row r="48" spans="3:8" s="48" customFormat="1" ht="21">
      <c r="C48" s="161"/>
      <c r="D48" s="161"/>
      <c r="E48" s="71"/>
      <c r="F48" s="86"/>
      <c r="G48" s="66"/>
      <c r="H48" s="15"/>
    </row>
    <row r="49" spans="3:9" s="81" customFormat="1" ht="21">
      <c r="C49" s="90"/>
      <c r="D49" s="90"/>
      <c r="E49" s="90"/>
      <c r="F49" s="86"/>
      <c r="G49" s="66"/>
      <c r="H49" s="15"/>
      <c r="I49" s="61" t="s">
        <v>52</v>
      </c>
    </row>
    <row r="50" spans="3:9" s="79" customFormat="1" ht="61.5">
      <c r="C50" s="49" t="s">
        <v>13</v>
      </c>
      <c r="D50" s="49" t="s">
        <v>55</v>
      </c>
      <c r="E50" s="49" t="s">
        <v>53</v>
      </c>
      <c r="F50" s="49" t="s">
        <v>251</v>
      </c>
      <c r="G50" s="49" t="s">
        <v>245</v>
      </c>
      <c r="H50" s="77" t="s">
        <v>249</v>
      </c>
      <c r="I50" s="78" t="s">
        <v>54</v>
      </c>
    </row>
    <row r="51" spans="3:9" ht="21">
      <c r="C51" s="15">
        <v>1</v>
      </c>
      <c r="D51" s="15" t="s">
        <v>192</v>
      </c>
      <c r="E51" s="51">
        <v>68387</v>
      </c>
      <c r="F51" s="51">
        <v>53427</v>
      </c>
      <c r="G51" s="51">
        <v>38692.79</v>
      </c>
      <c r="H51" s="80">
        <f>F51-G51</f>
        <v>14734.21</v>
      </c>
      <c r="I51" s="51">
        <f>E51-G51</f>
        <v>29694.21</v>
      </c>
    </row>
    <row r="52" spans="3:9" ht="29.25" customHeight="1">
      <c r="C52" s="15"/>
      <c r="D52" s="15"/>
      <c r="E52" s="15"/>
      <c r="F52" s="15"/>
      <c r="G52" s="95"/>
      <c r="H52" s="15"/>
      <c r="I52" s="15"/>
    </row>
    <row r="54" spans="4:5" ht="26.25">
      <c r="D54" s="43"/>
      <c r="E54" s="43"/>
    </row>
    <row r="55" spans="4:5" ht="26.25">
      <c r="D55" s="43"/>
      <c r="E55" s="43"/>
    </row>
  </sheetData>
  <sheetProtection/>
  <mergeCells count="18">
    <mergeCell ref="C13:H13"/>
    <mergeCell ref="C18:H18"/>
    <mergeCell ref="C45:C48"/>
    <mergeCell ref="D45:D48"/>
    <mergeCell ref="E38:F38"/>
    <mergeCell ref="C31:H31"/>
    <mergeCell ref="C32:F32"/>
    <mergeCell ref="C33:F33"/>
    <mergeCell ref="C34:H34"/>
    <mergeCell ref="C35:D35"/>
    <mergeCell ref="E35:G35"/>
    <mergeCell ref="E36:F36"/>
    <mergeCell ref="E37:F37"/>
    <mergeCell ref="E39:F39"/>
    <mergeCell ref="E42:F42"/>
    <mergeCell ref="E43:F43"/>
    <mergeCell ref="E40:F40"/>
    <mergeCell ref="E41:F41"/>
  </mergeCells>
  <printOptions/>
  <pageMargins left="0.25" right="0.25" top="0.75" bottom="0.75" header="0.3" footer="0.3"/>
  <pageSetup horizontalDpi="600" verticalDpi="600" orientation="landscape" paperSize="9" scale="52" r:id="rId2"/>
  <rowBreaks count="1" manualBreakCount="1">
    <brk id="33" min="2" max="8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73" zoomScaleSheetLayoutView="73" zoomScalePageLayoutView="0" workbookViewId="0" topLeftCell="A38">
      <selection activeCell="B49" sqref="B49:C50"/>
    </sheetView>
  </sheetViews>
  <sheetFormatPr defaultColWidth="9.140625" defaultRowHeight="15"/>
  <cols>
    <col min="1" max="1" width="9.00390625" style="45" customWidth="1"/>
    <col min="2" max="2" width="45.421875" style="45" customWidth="1"/>
    <col min="3" max="3" width="37.8515625" style="45" customWidth="1"/>
    <col min="4" max="4" width="44.421875" style="45" customWidth="1"/>
    <col min="5" max="5" width="29.28125" style="45" customWidth="1"/>
    <col min="6" max="6" width="25.7109375" style="45" customWidth="1"/>
    <col min="7" max="7" width="25.421875" style="45" customWidth="1"/>
    <col min="8" max="8" width="26.8515625" style="45" customWidth="1"/>
    <col min="9" max="9" width="4.7109375" style="45" customWidth="1"/>
    <col min="10" max="10" width="9.140625" style="45" hidden="1" customWidth="1"/>
    <col min="11" max="16384" width="9.140625" style="45" customWidth="1"/>
  </cols>
  <sheetData>
    <row r="1" spans="2:5" s="43" customFormat="1" ht="28.5">
      <c r="B1" s="44" t="s">
        <v>26</v>
      </c>
      <c r="C1" s="44"/>
      <c r="D1" s="44"/>
      <c r="E1" s="44"/>
    </row>
    <row r="2" spans="2:5" s="43" customFormat="1" ht="28.5">
      <c r="B2" s="44" t="s">
        <v>27</v>
      </c>
      <c r="C2" s="44"/>
      <c r="D2" s="44"/>
      <c r="E2" s="44"/>
    </row>
    <row r="3" spans="2:6" ht="18.75">
      <c r="B3" s="46" t="s">
        <v>28</v>
      </c>
      <c r="C3" s="46"/>
      <c r="D3" s="46"/>
      <c r="E3" s="46"/>
      <c r="F3" s="47"/>
    </row>
    <row r="4" spans="2:6" ht="18.75">
      <c r="B4" s="46" t="s">
        <v>29</v>
      </c>
      <c r="C4" s="46"/>
      <c r="D4" s="46"/>
      <c r="E4" s="46"/>
      <c r="F4" s="47"/>
    </row>
    <row r="5" spans="2:6" ht="15">
      <c r="B5" s="47"/>
      <c r="C5" s="47"/>
      <c r="D5" s="47"/>
      <c r="E5" s="47"/>
      <c r="F5" s="47"/>
    </row>
    <row r="6" spans="2:5" s="48" customFormat="1" ht="26.25">
      <c r="B6" s="43" t="s">
        <v>30</v>
      </c>
      <c r="C6" s="43"/>
      <c r="D6" s="43"/>
      <c r="E6" s="43"/>
    </row>
    <row r="7" spans="2:5" s="48" customFormat="1" ht="26.25">
      <c r="B7" s="43" t="s">
        <v>50</v>
      </c>
      <c r="C7" s="43"/>
      <c r="D7" s="43"/>
      <c r="E7" s="43"/>
    </row>
    <row r="8" spans="2:5" s="48" customFormat="1" ht="26.25">
      <c r="B8" s="43" t="s">
        <v>90</v>
      </c>
      <c r="C8" s="43"/>
      <c r="D8" s="43"/>
      <c r="E8" s="43"/>
    </row>
    <row r="9" spans="2:6" ht="15">
      <c r="B9" s="47"/>
      <c r="C9" s="47"/>
      <c r="D9" s="47"/>
      <c r="E9" s="47"/>
      <c r="F9" s="47"/>
    </row>
    <row r="10" spans="1:6" ht="21">
      <c r="A10" s="48" t="s">
        <v>51</v>
      </c>
      <c r="B10" s="47"/>
      <c r="C10" s="47"/>
      <c r="D10" s="47"/>
      <c r="E10" s="47"/>
      <c r="F10" s="47"/>
    </row>
    <row r="11" s="48" customFormat="1" ht="34.5" customHeight="1">
      <c r="F11" s="61" t="s">
        <v>20</v>
      </c>
    </row>
    <row r="12" spans="1:6" s="50" customFormat="1" ht="40.5">
      <c r="A12" s="49" t="s">
        <v>13</v>
      </c>
      <c r="B12" s="49" t="s">
        <v>14</v>
      </c>
      <c r="C12" s="49" t="s">
        <v>172</v>
      </c>
      <c r="D12" s="49" t="s">
        <v>15</v>
      </c>
      <c r="E12" s="49" t="s">
        <v>16</v>
      </c>
      <c r="F12" s="49" t="s">
        <v>11</v>
      </c>
    </row>
    <row r="13" spans="1:6" s="48" customFormat="1" ht="21">
      <c r="A13" s="145" t="s">
        <v>17</v>
      </c>
      <c r="B13" s="146"/>
      <c r="C13" s="146"/>
      <c r="D13" s="146"/>
      <c r="E13" s="146"/>
      <c r="F13" s="147"/>
    </row>
    <row r="14" spans="1:6" s="48" customFormat="1" ht="21">
      <c r="A14" s="15">
        <v>1</v>
      </c>
      <c r="B14" s="15" t="s">
        <v>18</v>
      </c>
      <c r="C14" s="51">
        <v>10272.42</v>
      </c>
      <c r="D14" s="51">
        <f>63785.04</f>
        <v>63785.04</v>
      </c>
      <c r="E14" s="51">
        <v>63456.68</v>
      </c>
      <c r="F14" s="51">
        <f>C14+D14-E14</f>
        <v>10600.780000000006</v>
      </c>
    </row>
    <row r="15" spans="1:6" s="48" customFormat="1" ht="21">
      <c r="A15" s="15">
        <v>2</v>
      </c>
      <c r="B15" s="15" t="s">
        <v>19</v>
      </c>
      <c r="C15" s="51">
        <v>2965.56</v>
      </c>
      <c r="D15" s="51">
        <f>18414.24-9942.3</f>
        <v>8471.940000000002</v>
      </c>
      <c r="E15" s="51">
        <v>18360.72</v>
      </c>
      <c r="F15" s="51">
        <f>C15+D15-E15</f>
        <v>-6923.219999999999</v>
      </c>
    </row>
    <row r="16" spans="1:6" s="48" customFormat="1" ht="21" hidden="1">
      <c r="A16" s="15"/>
      <c r="B16" s="15" t="s">
        <v>250</v>
      </c>
      <c r="C16" s="51"/>
      <c r="D16" s="51"/>
      <c r="E16" s="51"/>
      <c r="F16" s="51">
        <f>C16+D16-E16</f>
        <v>0</v>
      </c>
    </row>
    <row r="17" spans="1:6" s="48" customFormat="1" ht="39.75" customHeight="1">
      <c r="A17" s="15"/>
      <c r="B17" s="52" t="s">
        <v>0</v>
      </c>
      <c r="C17" s="53">
        <f>SUM(C14:C15)</f>
        <v>13237.98</v>
      </c>
      <c r="D17" s="53">
        <f>SUM(D14:D16)</f>
        <v>72256.98000000001</v>
      </c>
      <c r="E17" s="53">
        <f>SUM(E14:E16)</f>
        <v>81817.4</v>
      </c>
      <c r="F17" s="53">
        <f>SUM(F14:F16)</f>
        <v>3677.5600000000068</v>
      </c>
    </row>
    <row r="18" spans="1:6" s="48" customFormat="1" ht="21">
      <c r="A18" s="145" t="s">
        <v>21</v>
      </c>
      <c r="B18" s="146"/>
      <c r="C18" s="146"/>
      <c r="D18" s="146"/>
      <c r="E18" s="146"/>
      <c r="F18" s="147"/>
    </row>
    <row r="19" spans="1:6" s="48" customFormat="1" ht="21">
      <c r="A19" s="15">
        <v>3</v>
      </c>
      <c r="B19" s="15" t="s">
        <v>1</v>
      </c>
      <c r="C19" s="51">
        <v>51688.76</v>
      </c>
      <c r="D19" s="55">
        <f>280184.64-4307.7</f>
        <v>275876.94</v>
      </c>
      <c r="E19" s="55">
        <f>278707.01-2120.19</f>
        <v>276586.82</v>
      </c>
      <c r="F19" s="55">
        <f>C19+D19-E19</f>
        <v>50978.880000000005</v>
      </c>
    </row>
    <row r="20" spans="1:6" s="48" customFormat="1" ht="21">
      <c r="A20" s="15">
        <v>4</v>
      </c>
      <c r="B20" s="56" t="s">
        <v>2</v>
      </c>
      <c r="C20" s="57">
        <v>6675.71</v>
      </c>
      <c r="D20" s="55">
        <f>32998.84</f>
        <v>32998.84</v>
      </c>
      <c r="E20" s="55">
        <v>33562.74</v>
      </c>
      <c r="F20" s="55">
        <f>C20+D20-E20</f>
        <v>6111.809999999998</v>
      </c>
    </row>
    <row r="21" spans="1:6" s="48" customFormat="1" ht="21">
      <c r="A21" s="15">
        <v>5</v>
      </c>
      <c r="B21" s="56" t="s">
        <v>3</v>
      </c>
      <c r="C21" s="57">
        <v>3798.9</v>
      </c>
      <c r="D21" s="55">
        <f>20025.44</f>
        <v>20025.44</v>
      </c>
      <c r="E21" s="55">
        <v>20030.81</v>
      </c>
      <c r="F21" s="55">
        <f>C21+D21-E21</f>
        <v>3793.529999999999</v>
      </c>
    </row>
    <row r="22" spans="1:6" s="48" customFormat="1" ht="41.25">
      <c r="A22" s="15"/>
      <c r="B22" s="52" t="s">
        <v>5</v>
      </c>
      <c r="C22" s="53">
        <f>SUM(C19:C21)</f>
        <v>62163.37</v>
      </c>
      <c r="D22" s="53">
        <f>SUM(D19:D21)</f>
        <v>328901.22000000003</v>
      </c>
      <c r="E22" s="53">
        <f>SUM(E19:E21)</f>
        <v>330180.37</v>
      </c>
      <c r="F22" s="53">
        <f>SUM(F19:F21)</f>
        <v>60884.22</v>
      </c>
    </row>
    <row r="23" spans="1:6" s="48" customFormat="1" ht="41.25">
      <c r="A23" s="15"/>
      <c r="B23" s="52" t="s">
        <v>6</v>
      </c>
      <c r="C23" s="53">
        <f>C17+C22</f>
        <v>75401.35</v>
      </c>
      <c r="D23" s="53">
        <f>D17+D22</f>
        <v>401158.20000000007</v>
      </c>
      <c r="E23" s="53">
        <f>E17+E22</f>
        <v>411997.77</v>
      </c>
      <c r="F23" s="53">
        <f>F17+F22</f>
        <v>64561.780000000006</v>
      </c>
    </row>
    <row r="24" spans="1:7" s="48" customFormat="1" ht="21">
      <c r="A24" s="58"/>
      <c r="B24" s="59"/>
      <c r="C24" s="59"/>
      <c r="D24" s="60"/>
      <c r="E24" s="60"/>
      <c r="F24" s="60"/>
      <c r="G24" s="94"/>
    </row>
    <row r="25" spans="1:6" s="48" customFormat="1" ht="21">
      <c r="A25" s="58"/>
      <c r="B25" s="59"/>
      <c r="C25" s="59"/>
      <c r="D25" s="60"/>
      <c r="E25" s="60"/>
      <c r="F25" s="60"/>
    </row>
    <row r="26" spans="5:6" s="48" customFormat="1" ht="21">
      <c r="E26" s="61"/>
      <c r="F26" s="61" t="s">
        <v>22</v>
      </c>
    </row>
    <row r="27" spans="1:6" s="48" customFormat="1" ht="25.5">
      <c r="A27" s="148" t="s">
        <v>259</v>
      </c>
      <c r="B27" s="149"/>
      <c r="C27" s="149"/>
      <c r="D27" s="149"/>
      <c r="E27" s="149"/>
      <c r="F27" s="150"/>
    </row>
    <row r="28" spans="1:6" s="48" customFormat="1" ht="63">
      <c r="A28" s="151" t="s">
        <v>260</v>
      </c>
      <c r="B28" s="152"/>
      <c r="C28" s="152"/>
      <c r="D28" s="153"/>
      <c r="E28" s="49" t="s">
        <v>23</v>
      </c>
      <c r="F28" s="62" t="s">
        <v>232</v>
      </c>
    </row>
    <row r="29" spans="1:6" s="48" customFormat="1" ht="171" customHeight="1">
      <c r="A29" s="178" t="s">
        <v>265</v>
      </c>
      <c r="B29" s="179"/>
      <c r="C29" s="179"/>
      <c r="D29" s="180"/>
      <c r="E29" s="65">
        <f>D14</f>
        <v>63785.04</v>
      </c>
      <c r="F29" s="65">
        <f>F14</f>
        <v>10600.780000000006</v>
      </c>
    </row>
    <row r="30" spans="1:6" s="48" customFormat="1" ht="25.5">
      <c r="A30" s="148" t="s">
        <v>258</v>
      </c>
      <c r="B30" s="149"/>
      <c r="C30" s="149"/>
      <c r="D30" s="149"/>
      <c r="E30" s="149"/>
      <c r="F30" s="150"/>
    </row>
    <row r="31" spans="1:6" s="48" customFormat="1" ht="105">
      <c r="A31" s="181" t="s">
        <v>261</v>
      </c>
      <c r="B31" s="182"/>
      <c r="C31" s="164" t="s">
        <v>260</v>
      </c>
      <c r="D31" s="165"/>
      <c r="E31" s="166"/>
      <c r="F31" s="111" t="s">
        <v>262</v>
      </c>
    </row>
    <row r="32" spans="1:6" s="48" customFormat="1" ht="21">
      <c r="A32" s="122"/>
      <c r="B32" s="123">
        <f>4707.04-48639</f>
        <v>-43931.96</v>
      </c>
      <c r="C32" s="186" t="s">
        <v>167</v>
      </c>
      <c r="D32" s="168"/>
      <c r="E32" s="57">
        <v>744.98</v>
      </c>
      <c r="F32" s="51"/>
    </row>
    <row r="33" spans="1:6" s="48" customFormat="1" ht="21">
      <c r="A33" s="118"/>
      <c r="B33" s="124"/>
      <c r="C33" s="186" t="s">
        <v>93</v>
      </c>
      <c r="D33" s="168"/>
      <c r="E33" s="57">
        <v>123.92</v>
      </c>
      <c r="F33" s="51"/>
    </row>
    <row r="34" spans="1:6" s="48" customFormat="1" ht="21">
      <c r="A34" s="118"/>
      <c r="B34" s="124"/>
      <c r="C34" s="186" t="s">
        <v>113</v>
      </c>
      <c r="D34" s="168"/>
      <c r="E34" s="57">
        <v>1241.68</v>
      </c>
      <c r="F34" s="51"/>
    </row>
    <row r="35" spans="1:6" s="48" customFormat="1" ht="21">
      <c r="A35" s="118"/>
      <c r="B35" s="124"/>
      <c r="C35" s="167" t="s">
        <v>269</v>
      </c>
      <c r="D35" s="168"/>
      <c r="E35" s="57">
        <v>9942.3</v>
      </c>
      <c r="F35" s="51"/>
    </row>
    <row r="36" spans="1:6" s="48" customFormat="1" ht="21">
      <c r="A36" s="118"/>
      <c r="B36" s="125"/>
      <c r="C36" s="187" t="s">
        <v>229</v>
      </c>
      <c r="D36" s="184"/>
      <c r="E36" s="83">
        <f>SUM(E32:E35)</f>
        <v>12052.88</v>
      </c>
      <c r="F36" s="91">
        <f>E15-E36</f>
        <v>6307.840000000002</v>
      </c>
    </row>
    <row r="37" spans="1:6" s="48" customFormat="1" ht="21">
      <c r="A37" s="72"/>
      <c r="B37" s="114"/>
      <c r="C37" s="185" t="s">
        <v>230</v>
      </c>
      <c r="D37" s="170"/>
      <c r="E37" s="83"/>
      <c r="F37" s="91">
        <f>B32+F36</f>
        <v>-37624.119999999995</v>
      </c>
    </row>
    <row r="38" spans="1:6" s="48" customFormat="1" ht="21">
      <c r="A38" s="116">
        <v>3</v>
      </c>
      <c r="B38" s="115" t="s">
        <v>24</v>
      </c>
      <c r="C38" s="52"/>
      <c r="D38" s="76" t="s">
        <v>10</v>
      </c>
      <c r="E38" s="66"/>
      <c r="F38" s="15"/>
    </row>
    <row r="39" spans="1:6" s="48" customFormat="1" ht="21">
      <c r="A39" s="159"/>
      <c r="B39" s="157"/>
      <c r="C39" s="69"/>
      <c r="D39" s="86" t="s">
        <v>205</v>
      </c>
      <c r="E39" s="66"/>
      <c r="F39" s="15"/>
    </row>
    <row r="40" spans="1:6" s="48" customFormat="1" ht="21">
      <c r="A40" s="158"/>
      <c r="B40" s="158"/>
      <c r="C40" s="70"/>
      <c r="D40" s="86" t="s">
        <v>212</v>
      </c>
      <c r="E40" s="66"/>
      <c r="F40" s="15"/>
    </row>
    <row r="41" spans="1:6" s="48" customFormat="1" ht="21">
      <c r="A41" s="158"/>
      <c r="B41" s="158"/>
      <c r="C41" s="70"/>
      <c r="D41" s="76"/>
      <c r="E41" s="66"/>
      <c r="F41" s="15"/>
    </row>
    <row r="42" spans="1:6" s="48" customFormat="1" ht="21">
      <c r="A42" s="158"/>
      <c r="B42" s="158"/>
      <c r="C42" s="70"/>
      <c r="D42" s="86"/>
      <c r="E42" s="66"/>
      <c r="F42" s="15"/>
    </row>
    <row r="43" spans="1:6" s="48" customFormat="1" ht="21">
      <c r="A43" s="161"/>
      <c r="B43" s="161"/>
      <c r="C43" s="71"/>
      <c r="D43" s="86"/>
      <c r="E43" s="66"/>
      <c r="F43" s="15"/>
    </row>
    <row r="44" spans="1:6" s="48" customFormat="1" ht="21">
      <c r="A44" s="90"/>
      <c r="B44" s="90"/>
      <c r="C44" s="90"/>
      <c r="D44" s="86"/>
      <c r="E44" s="66"/>
      <c r="F44" s="15"/>
    </row>
    <row r="45" spans="1:6" s="48" customFormat="1" ht="21">
      <c r="A45" s="96"/>
      <c r="B45" s="96"/>
      <c r="C45" s="96"/>
      <c r="D45" s="97"/>
      <c r="E45" s="93"/>
      <c r="F45" s="98" t="s">
        <v>52</v>
      </c>
    </row>
    <row r="46" spans="1:8" s="48" customFormat="1" ht="87" customHeight="1">
      <c r="A46" s="49" t="s">
        <v>13</v>
      </c>
      <c r="B46" s="49" t="s">
        <v>55</v>
      </c>
      <c r="C46" s="49" t="s">
        <v>244</v>
      </c>
      <c r="D46" s="49" t="s">
        <v>172</v>
      </c>
      <c r="E46" s="49" t="s">
        <v>242</v>
      </c>
      <c r="F46" s="49" t="s">
        <v>245</v>
      </c>
      <c r="G46" s="49" t="s">
        <v>246</v>
      </c>
      <c r="H46" s="49" t="s">
        <v>247</v>
      </c>
    </row>
    <row r="47" spans="1:8" s="79" customFormat="1" ht="21">
      <c r="A47" s="15">
        <v>3</v>
      </c>
      <c r="B47" s="15" t="s">
        <v>196</v>
      </c>
      <c r="C47" s="51">
        <v>41527.21</v>
      </c>
      <c r="D47" s="51">
        <v>5832.96</v>
      </c>
      <c r="E47" s="51">
        <v>35319.6</v>
      </c>
      <c r="F47" s="51">
        <v>41152.56</v>
      </c>
      <c r="G47" s="80">
        <f>D47+E47-F47</f>
        <v>0</v>
      </c>
      <c r="H47" s="51">
        <f>47479-11784.75-35319.6</f>
        <v>374.65000000000146</v>
      </c>
    </row>
    <row r="48" ht="15">
      <c r="H48" s="79"/>
    </row>
    <row r="49" spans="2:8" ht="26.25">
      <c r="B49" s="43"/>
      <c r="C49" s="43"/>
      <c r="H49" s="79"/>
    </row>
    <row r="50" spans="2:3" ht="26.25">
      <c r="B50" s="43"/>
      <c r="C50" s="43"/>
    </row>
  </sheetData>
  <sheetProtection/>
  <mergeCells count="16">
    <mergeCell ref="A13:F13"/>
    <mergeCell ref="A18:F18"/>
    <mergeCell ref="A39:A43"/>
    <mergeCell ref="B39:B43"/>
    <mergeCell ref="C34:D34"/>
    <mergeCell ref="A27:F27"/>
    <mergeCell ref="A28:D28"/>
    <mergeCell ref="A29:D29"/>
    <mergeCell ref="A30:F30"/>
    <mergeCell ref="A31:B31"/>
    <mergeCell ref="C37:D37"/>
    <mergeCell ref="C35:D35"/>
    <mergeCell ref="C31:E31"/>
    <mergeCell ref="C32:D32"/>
    <mergeCell ref="C33:D33"/>
    <mergeCell ref="C36:D36"/>
  </mergeCells>
  <printOptions/>
  <pageMargins left="0.25" right="0.25" top="0.75" bottom="0.75" header="0.3" footer="0.3"/>
  <pageSetup horizontalDpi="600" verticalDpi="600" orientation="landscape" paperSize="9" scale="53" r:id="rId2"/>
  <rowBreaks count="1" manualBreakCount="1">
    <brk id="29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2014-03-21T04:18:32Z</cp:lastPrinted>
  <dcterms:created xsi:type="dcterms:W3CDTF">2006-09-16T00:00:00Z</dcterms:created>
  <dcterms:modified xsi:type="dcterms:W3CDTF">2014-03-27T05:36:11Z</dcterms:modified>
  <cp:category/>
  <cp:version/>
  <cp:contentType/>
  <cp:contentStatus/>
</cp:coreProperties>
</file>